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limig\Downloads\"/>
    </mc:Choice>
  </mc:AlternateContent>
  <xr:revisionPtr revIDLastSave="0" documentId="13_ncr:1_{2566183E-B350-484F-8798-568B45DA5445}" xr6:coauthVersionLast="47" xr6:coauthVersionMax="47" xr10:uidLastSave="{00000000-0000-0000-0000-000000000000}"/>
  <workbookProtection workbookAlgorithmName="SHA-512" workbookHashValue="xD3qnex8s9ICeI1qOAHD+zNwU1npwUEHoOgHRXi5aceSdngVGaEhJykAdWp3gnvbcbl1gTjA+2JfcBY5o9YY9g==" workbookSaltValue="5H5JeNgyFx/dxFp3s6t5yg==" workbookSpinCount="100000" lockStructure="1"/>
  <bookViews>
    <workbookView xWindow="120" yWindow="0" windowWidth="28680" windowHeight="15480"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8" l="1"/>
  <c r="R20" i="19"/>
  <c r="R24" i="19" l="1"/>
  <c r="R22" i="19"/>
  <c r="E17" i="28"/>
  <c r="R18" i="16"/>
  <c r="R20" i="16"/>
  <c r="S20" i="16" s="1"/>
  <c r="R14" i="16"/>
  <c r="R12" i="16"/>
  <c r="S12" i="16" s="1"/>
  <c r="S18" i="16"/>
  <c r="S14" i="16"/>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<sst xmlns="http://schemas.openxmlformats.org/spreadsheetml/2006/main" count="1234" uniqueCount="658">
  <si>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</si>
  <si>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</si>
  <si>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</si>
  <si>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</si>
  <si>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</si>
  <si>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</si>
  <si>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</si>
  <si>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</si>
  <si>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</si>
  <si>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</si>
  <si>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</si>
  <si>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</si>
  <si>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</si>
  <si>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</si>
  <si>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</si>
  <si>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</si>
  <si>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</si>
  <si>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</si>
  <si>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</si>
  <si>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</si>
  <si>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</si>
  <si>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</si>
  <si>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</si>
  <si>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</si>
  <si>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</si>
  <si>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</si>
  <si>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</si>
  <si>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</si>
  <si>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</si>
  <si>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</si>
  <si>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</si>
  <si>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</si>
  <si>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</si>
  <si>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</si>
  <si>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</si>
  <si>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</si>
  <si>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</si>
  <si>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</si>
  <si>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</si>
  <si>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</si>
  <si>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</si>
  <si>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</si>
  <si>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</si>
  <si>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</si>
  <si>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</si>
  <si>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</si>
  <si>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</si>
  <si>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</si>
  <si>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</si>
  <si>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</si>
  <si>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</si>
  <si>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</si>
  <si>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</si>
  <si>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</si>
  <si>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</si>
  <si>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</si>
  <si>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</si>
  <si>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</si>
  <si>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</si>
  <si>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</si>
  <si>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</si>
  <si>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</si>
  <si>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</si>
  <si>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</si>
  <si>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</si>
  <si>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</si>
  <si>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</si>
  <si>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</si>
  <si>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</si>
  <si>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</si>
  <si>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</si>
  <si>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</si>
  <si>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</si>
  <si>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</si>
  <si>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</si>
  <si>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</si>
  <si>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</si>
  <si>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</si>
  <si>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</si>
  <si>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</si>
  <si>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</si>
  <si>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</si>
  <si>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</si>
  <si>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</si>
  <si>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</si>
  <si>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</si>
  <si>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</si>
  <si>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</si>
  <si>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</si>
  <si>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</si>
  <si>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</si>
  <si>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</si>
  <si>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</si>
  <si>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</si>
  <si>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</si>
  <si>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</si>
  <si>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</si>
  <si>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</si>
  <si>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</si>
  <si>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</si>
  <si>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</si>
  <si>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</si>
  <si>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</si>
  <si>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</si>
  <si>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</si>
  <si>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</si>
  <si>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</si>
  <si>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</si>
  <si>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</si>
  <si>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</si>
  <si>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</si>
  <si>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</si>
  <si>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</si>
  <si>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</si>
  <si>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</si>
  <si>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</si>
  <si>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</si>
  <si>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</si>
  <si>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</si>
  <si>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</si>
  <si>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</si>
  <si>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</si>
  <si>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</si>
  <si>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</si>
  <si>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</si>
  <si>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</si>
  <si>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</si>
  <si>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</si>
  <si>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</si>
  <si>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</si>
  <si>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</si>
  <si>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</si>
  <si>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</si>
  <si>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</si>
  <si>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</si>
  <si>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</si>
  <si>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</si>
  <si>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</si>
  <si>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</si>
  <si>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</si>
  <si>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</si>
  <si>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</si>
  <si>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</si>
  <si>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</si>
  <si>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</si>
  <si>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</si>
  <si>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</si>
  <si>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</si>
  <si>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</si>
  <si>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</si>
  <si>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</si>
  <si>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</si>
  <si>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</si>
  <si>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</si>
  <si>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</si>
  <si>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</si>
  <si>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</si>
  <si>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</si>
  <si>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</si>
  <si>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</si>
  <si>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</si>
  <si>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</si>
  <si>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</si>
  <si>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</si>
  <si>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</si>
  <si>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</si>
  <si>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</si>
  <si>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</si>
  <si>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</si>
  <si>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</si>
  <si>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</si>
  <si>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</si>
  <si>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</si>
  <si>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</si>
  <si>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</si>
  <si>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</si>
  <si>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</si>
  <si>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</si>
  <si>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</si>
  <si>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</si>
  <si>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</si>
  <si>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</si>
  <si>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</si>
  <si>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</si>
  <si>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</si>
  <si>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</si>
  <si>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</si>
  <si>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</si>
  <si>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</si>
  <si>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</si>
  <si>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</si>
  <si>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</si>
  <si>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</si>
  <si>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</si>
  <si>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</si>
  <si>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</si>
  <si>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</si>
  <si>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</si>
  <si>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</si>
  <si>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</si>
  <si>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</si>
  <si>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</si>
  <si>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</si>
  <si>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</si>
  <si>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</si>
  <si>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</si>
  <si>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</si>
  <si>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</si>
  <si>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</si>
  <si>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</si>
  <si>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</si>
  <si>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</si>
  <si>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</si>
  <si>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</si>
  <si>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</si>
  <si>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</si>
  <si>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</si>
  <si>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</si>
  <si>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</si>
  <si>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</si>
  <si>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</si>
  <si>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</si>
  <si>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</si>
  <si>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</si>
  <si>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</si>
  <si>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</si>
  <si>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</si>
  <si>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</si>
  <si>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</si>
  <si>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</si>
  <si>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</si>
  <si>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</si>
  <si>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</si>
  <si>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</si>
  <si>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</si>
  <si>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</si>
  <si>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</si>
  <si>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</si>
  <si>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</si>
  <si>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</si>
  <si>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</si>
  <si>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</si>
  <si>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</si>
  <si>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</si>
  <si>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</si>
  <si>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</si>
  <si>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</si>
  <si>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</si>
  <si>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</si>
  <si>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</si>
  <si>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</si>
  <si>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</si>
  <si>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</si>
  <si>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</si>
  <si>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</si>
  <si>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</si>
  <si>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</si>
  <si>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</si>
  <si>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</si>
  <si>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</si>
  <si>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</si>
  <si>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</si>
  <si>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</si>
  <si>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</si>
  <si>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</si>
  <si>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</si>
  <si>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</si>
  <si>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</si>
  <si>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</si>
  <si>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</si>
  <si>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</si>
  <si>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</si>
  <si>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</si>
  <si>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</si>
  <si>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</si>
  <si>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</si>
  <si>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</si>
  <si>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</si>
  <si>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</si>
  <si>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</si>
  <si>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</si>
  <si>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</si>
  <si>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</si>
  <si>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</si>
  <si>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</si>
  <si>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</si>
  <si>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</si>
  <si>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</si>
  <si>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</si>
  <si>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</si>
  <si>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</si>
  <si>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</si>
  <si>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</si>
  <si>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</si>
  <si>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</si>
  <si>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</si>
  <si>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</si>
  <si>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</si>
  <si>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</si>
  <si>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</si>
  <si>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</si>
  <si>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</si>
  <si>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</si>
  <si>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</si>
  <si>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</si>
  <si>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</si>
  <si>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</si>
  <si>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</si>
  <si>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</si>
  <si>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</si>
  <si>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</si>
  <si>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</si>
  <si>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</si>
  <si>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</si>
  <si>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</si>
  <si>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</si>
  <si>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</si>
  <si>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</si>
  <si>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</si>
  <si>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</si>
  <si>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</si>
  <si>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</si>
  <si>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</si>
  <si>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</si>
  <si>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</si>
  <si>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</si>
  <si>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</si>
  <si>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</si>
  <si>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</si>
  <si>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</si>
  <si>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</si>
  <si>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</si>
  <si>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</si>
  <si>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</si>
  <si>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</si>
  <si>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</si>
  <si>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</si>
  <si>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</si>
  <si>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</si>
  <si>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</si>
  <si>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</si>
  <si>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</si>
  <si>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</si>
  <si>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</si>
  <si>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</si>
  <si>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</si>
  <si>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</si>
  <si>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</si>
  <si>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</si>
  <si>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</si>
  <si>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</si>
  <si>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</si>
  <si>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</si>
  <si>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</si>
  <si>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</si>
  <si>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</si>
  <si>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</si>
  <si>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</si>
  <si>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</si>
  <si>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</si>
  <si>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</si>
  <si>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</si>
  <si>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</si>
  <si>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</si>
  <si>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</si>
  <si>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</si>
  <si>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</si>
  <si>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</si>
  <si>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</si>
  <si>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</si>
  <si>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</si>
  <si>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</si>
  <si>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</si>
  <si>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</si>
  <si>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</si>
  <si>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</si>
  <si>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</si>
  <si>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</si>
  <si>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</si>
  <si>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</si>
  <si>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</si>
  <si>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</si>
  <si>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</si>
  <si>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</si>
  <si>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</si>
  <si>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</si>
  <si>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</si>
  <si>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</si>
  <si>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</si>
  <si>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</si>
  <si>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</si>
  <si>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</si>
  <si>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</si>
  <si>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</si>
  <si>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</si>
  <si>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</si>
  <si>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</si>
  <si>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</si>
  <si>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</si>
  <si>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</si>
  <si>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</si>
  <si>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</si>
  <si>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</si>
  <si>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</si>
  <si>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</si>
  <si>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</si>
  <si>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</si>
  <si>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</si>
  <si>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</si>
  <si>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</si>
  <si>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</si>
  <si>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</si>
  <si>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</si>
  <si>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</si>
  <si>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</si>
  <si>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</si>
  <si>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</si>
  <si>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</si>
  <si>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</si>
  <si>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</si>
  <si>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</si>
  <si>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</si>
  <si>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</si>
  <si>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</si>
  <si>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</si>
  <si>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</si>
  <si>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</si>
  <si>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</si>
  <si>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</si>
  <si>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</si>
  <si>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</si>
  <si>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</si>
  <si>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</si>
  <si>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</si>
  <si>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</si>
  <si>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</si>
  <si>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</si>
  <si>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</si>
  <si>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</si>
  <si>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</si>
  <si>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</si>
  <si>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</si>
  <si>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</si>
  <si>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</si>
  <si>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</si>
  <si>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</si>
  <si>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</si>
  <si>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</si>
  <si>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</si>
  <si>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</si>
  <si>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</si>
  <si>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</si>
  <si>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</si>
  <si>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</si>
  <si>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</si>
  <si>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</si>
  <si>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</si>
  <si>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</si>
  <si>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</si>
  <si>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</si>
  <si>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</si>
  <si>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</si>
  <si>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</si>
  <si>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</si>
  <si>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</si>
  <si>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</si>
  <si>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</si>
  <si>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</si>
  <si>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</si>
  <si>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</si>
  <si>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</si>
  <si>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</si>
  <si>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</si>
  <si>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</si>
  <si>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</si>
  <si>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</si>
  <si>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</si>
  <si>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</si>
  <si>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</si>
  <si>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</si>
  <si>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</si>
  <si>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</si>
  <si>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</si>
  <si>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</si>
  <si>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</si>
  <si>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</si>
  <si>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</si>
  <si>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</si>
  <si>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</si>
  <si>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</si>
  <si>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</si>
  <si>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</si>
  <si>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</si>
  <si>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</si>
  <si>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</si>
  <si>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</si>
  <si>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</si>
  <si>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</si>
  <si>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</si>
  <si>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</si>
  <si>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</si>
  <si>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</si>
  <si>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</si>
  <si>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</si>
  <si>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</si>
  <si>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</si>
  <si>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</si>
  <si>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</si>
  <si>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</si>
  <si>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</si>
  <si>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</si>
  <si>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</si>
  <si>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</si>
  <si>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</si>
  <si>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</si>
  <si>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</si>
  <si>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</si>
  <si>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</si>
  <si>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</si>
  <si>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</si>
  <si>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</si>
  <si>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</si>
  <si>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</si>
  <si>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</si>
  <si>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</si>
  <si>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</si>
  <si>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</si>
  <si>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</si>
  <si>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</si>
  <si>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</si>
  <si>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</si>
  <si>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</si>
  <si>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</si>
  <si>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</si>
  <si>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</si>
  <si>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</si>
  <si>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</si>
  <si>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</si>
  <si>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</si>
  <si>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</si>
  <si>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</si>
  <si>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</si>
  <si>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</si>
  <si>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</si>
  <si>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</si>
  <si>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</si>
  <si>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</si>
  <si>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</si>
  <si>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</si>
  <si>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</si>
  <si>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</si>
  <si>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</si>
  <si>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</si>
  <si>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</si>
  <si>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</si>
  <si>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</si>
  <si>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</si>
  <si>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</si>
  <si>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</si>
  <si>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</si>
  <si>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</si>
  <si>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</si>
  <si>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</si>
  <si>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</si>
  <si>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</si>
  <si>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</si>
  <si>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</si>
  <si>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</si>
  <si>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</si>
  <si>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</si>
  <si>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</si>
  <si>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</si>
  <si>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</si>
  <si>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</si>
  <si>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</si>
  <si>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</si>
  <si>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</si>
  <si>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</si>
  <si>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</si>
  <si>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</si>
  <si>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</si>
  <si>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</si>
  <si>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</si>
  <si>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</si>
  <si>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</si>
  <si>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</si>
  <si>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</si>
  <si>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</si>
  <si>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</si>
  <si>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</si>
  <si>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</si>
  <si>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</si>
  <si>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</si>
  <si>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</si>
  <si>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</si>
  <si>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</si>
  <si>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</si>
  <si>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</si>
  <si>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</si>
  <si>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</si>
  <si>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</si>
  <si>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</si>
  <si>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</si>
  <si>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</si>
  <si>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</si>
  <si>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</si>
  <si>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</si>
  <si>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</si>
  <si>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</si>
  <si>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</si>
  <si>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</si>
  <si>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</si>
  <si>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</si>
  <si>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</si>
  <si>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</si>
  <si>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</si>
  <si>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</si>
  <si>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</si>
  <si>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</si>
  <si>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</si>
  <si>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</si>
  <si>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</si>
  <si>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</si>
  <si>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</si>
  <si>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</si>
  <si>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</si>
  <si>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</si>
  <si>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</si>
  <si>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</si>
  <si>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</si>
  <si>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</si>
  <si>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</si>
  <si>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</si>
  <si>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</si>
  <si>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</si>
  <si>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</si>
  <si>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</si>
  <si>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</si>
  <si>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</si>
  <si>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</si>
  <si>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</si>
  <si>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</si>
  <si>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</si>
  <si>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</si>
  <si>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</si>
  <si>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</si>
  <si>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</si>
  <si>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</si>
  <si>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</si>
  <si>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ANA MARÍA TRUJILLO CORONADO</t>
  </si>
  <si>
    <t xml:space="preserve">MARÍA CAMILA PARDO REYES </t>
  </si>
  <si>
    <t>DORIS YOLANDA RAMOS VEGA</t>
  </si>
  <si>
    <t>ELIANA TRUJILLO CHAVEZ</t>
  </si>
  <si>
    <t>Se aclara que el Centro Nacional de Memoria Histórica ha efectuado dos pagos, de conformidad con el reporte EKOGUI, sin embargo, estos no fueron efectuados durante el primer semestre de 2025. De conformidad con la capacitación efectuada a los jefes de control interno, se reporta el total de pagos, independiente de su fecha de elaboración.</t>
  </si>
  <si>
    <t>De acuerdo a la revisión efectuada por control interno, en el sistema ekogui y a la información suministrada por la oficina juridica, se ha efectuo una sesión de comité de conciliación el día 26 de junio de 2025. Así mismo, se informa que se efectuo el comité de conciliación No. 35, que tuvo lugar el 13 de febrero de 2025.</t>
  </si>
  <si>
    <t xml:space="preserve">*La oficina Jurídica reporto 2 abogados litigando a 30 de junio de 2025. Sin embargo, en la verificación efectuada por Control Interno, el reporte arroja un tercer abogado activo a 30 de junio de 2025: DIEGO ALEJANDRO ANTOLINEZ MORA con C.C. 80,932,963, quien es desactivado el 16 de julio de 2025 y un cuarto abogado ALONSO HERNAN PEÑARANDA LACHES con C.C.13815158, quien es desactivado el 11 de agosto de 2025.
*El correo del abogado JOAN SEBASTIAN MARQUEZ ROJAS, quien se encuentra activo se reporta como jsmarquez@ffie.com.co, siendo lo ideal el registro y uso del correo institucional del Centro Nacional de Memoria Histórica.
*No se reportan capacitaciones para los 2 abogados usuarios activos litigando.
</t>
  </si>
  <si>
    <t>Control interno, recomienda la adopción de acciones, que permitan el registro oportuno en el sistema ekogui, lo cual sera validado para el segundo semestre de 2025.</t>
  </si>
  <si>
    <t>Control Interno efectuo las validaciones correspondientes acorde a la capacitación recibida y la información reportada por la oficina Jurídica, dejando estas observaciones en terminos generales:
Durante el primer semestre litigan dos abogados, se deja la observación y se realiza la desactivación de los abogados retirados.
Se recomienda la toma de acciones para efectuar de manera oportuna el registro de casos en Ekogui.
Se aclara que el número de procesos por abogado se encuentran asignados, a 30 de junio de 2025, así: 44 procesos JOAN SEBASTIAN MARQUEZ ROJAS y 2 procesos a  VICTOR ANDRES OLARTE ARCOS.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</si>
</sst>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24" fillId="2" borderId="0" xfId="0" applyFont="1" applyFill="1" applyAlignment="1">
      <alignment horizontal="center" vertical="center" wrapText="1"/>
    </xf>
    <xf numFmtId="0" fontId="46" fillId="7" borderId="0" xfId="0" applyFont="1" applyFill="1" applyAlignment="1">
      <alignment horizontal="center" vertical="center" wrapText="1"/>
    </xf>
    <xf numFmtId="0" fontId="50" fillId="3" borderId="0" xfId="2" applyFont="1" applyFill="1" applyAlignment="1">
      <alignment horizontal="center" vertical="center" wrapText="1"/>
    </xf>
    <xf numFmtId="0" fontId="17" fillId="3" borderId="0" xfId="2"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14" fontId="45" fillId="6" borderId="5" xfId="0" applyNumberFormat="1" applyFont="1" applyFill="1" applyBorder="1" applyAlignment="1" applyProtection="1">
      <alignment horizontal="center" vertical="center"/>
      <protection locked="0"/>
    </xf>
    <xf numFmtId="0" fontId="45" fillId="6" borderId="0" xfId="0" applyFont="1" applyFill="1" applyAlignment="1" applyProtection="1">
      <alignment horizontal="center" vertical="center"/>
      <protection locked="0"/>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14" fontId="45" fillId="2" borderId="5" xfId="0" applyNumberFormat="1"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0" xfId="0" applyFont="1" applyFill="1" applyAlignment="1">
      <alignment horizontal="center" vertical="center" wrapText="1"/>
    </xf>
    <xf numFmtId="0" fontId="41" fillId="4"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14" fontId="45" fillId="6" borderId="0" xfId="0" applyNumberFormat="1" applyFont="1" applyFill="1" applyAlignment="1" applyProtection="1">
      <alignment horizontal="center" vertical="center"/>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11" fillId="5" borderId="0" xfId="0" applyFont="1" applyFill="1" applyAlignment="1">
      <alignment horizontal="center" vertical="center" wrapText="1"/>
    </xf>
    <xf numFmtId="0" fontId="11" fillId="2" borderId="0" xfId="0" applyFont="1" applyFill="1" applyAlignment="1">
      <alignment horizontal="center" vertical="center" wrapText="1"/>
    </xf>
    <xf numFmtId="0" fontId="15" fillId="4" borderId="0" xfId="0" applyFont="1" applyFill="1" applyAlignment="1">
      <alignment horizontal="center" vertical="center" wrapText="1"/>
    </xf>
    <xf numFmtId="0" fontId="26" fillId="4" borderId="0" xfId="0" applyFont="1" applyFill="1" applyAlignment="1">
      <alignment horizontal="center" vertical="center" wrapText="1"/>
    </xf>
    <xf numFmtId="0" fontId="9" fillId="7" borderId="0" xfId="0" applyFont="1" applyFill="1" applyAlignment="1">
      <alignment horizontal="center" wrapText="1"/>
    </xf>
    <xf numFmtId="0" fontId="16" fillId="2" borderId="0" xfId="0" applyFont="1" applyFill="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40" fillId="5" borderId="8" xfId="4" applyNumberFormat="1" applyFont="1" applyFill="1" applyBorder="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protection locked="0"/>
    </xf>
    <xf numFmtId="0" fontId="42" fillId="5" borderId="0" xfId="0" applyFont="1" applyFill="1" applyAlignment="1">
      <alignment vertical="center" wrapText="1"/>
    </xf>
    <xf numFmtId="0" fontId="42" fillId="5" borderId="4" xfId="0" applyFont="1" applyFill="1" applyBorder="1" applyAlignment="1">
      <alignment vertical="center" wrapText="1"/>
    </xf>
    <xf numFmtId="165" fontId="40" fillId="5" borderId="5" xfId="4" applyNumberFormat="1" applyFont="1" applyFill="1" applyBorder="1" applyAlignment="1" applyProtection="1">
      <alignment horizontal="center" vertical="center"/>
      <protection locked="0"/>
    </xf>
    <xf numFmtId="0" fontId="68" fillId="2" borderId="0" xfId="0" applyFont="1" applyFill="1" applyAlignment="1">
      <alignment vertical="center" wrapText="1"/>
    </xf>
    <xf numFmtId="0" fontId="68" fillId="2" borderId="4" xfId="0" applyFont="1" applyFill="1" applyBorder="1" applyAlignment="1">
      <alignment vertical="center" wrapText="1"/>
    </xf>
    <xf numFmtId="165" fontId="40" fillId="5" borderId="2" xfId="4" applyNumberFormat="1" applyFont="1" applyFill="1" applyBorder="1" applyAlignment="1" applyProtection="1">
      <alignment horizontal="center" vertical="center"/>
      <protection locked="0"/>
    </xf>
    <xf numFmtId="165" fontId="40" fillId="5" borderId="0" xfId="4" applyNumberFormat="1" applyFont="1" applyFill="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5" borderId="0" xfId="0" applyFont="1" applyFill="1" applyAlignment="1">
      <alignment horizontal="lef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4" xfId="0" applyFont="1" applyFill="1" applyBorder="1" applyAlignment="1">
      <alignment horizontal="left" vertical="center" wrapText="1"/>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42" fillId="2" borderId="4" xfId="0" applyFont="1" applyFill="1" applyBorder="1" applyAlignment="1">
      <alignment horizontal="left" vertical="center" wrapText="1"/>
    </xf>
    <xf numFmtId="0" fontId="42" fillId="5" borderId="0" xfId="0" applyFont="1" applyFill="1" applyAlignment="1">
      <alignment horizontal="center"/>
    </xf>
    <xf numFmtId="0" fontId="11" fillId="5" borderId="0" xfId="0" applyFont="1" applyFill="1" applyAlignment="1">
      <alignment horizontal="center"/>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0" fontId="40" fillId="4" borderId="5" xfId="0" applyFont="1" applyFill="1" applyBorder="1" applyAlignment="1">
      <alignment horizontal="center" vertical="center"/>
    </xf>
    <xf numFmtId="165" fontId="40" fillId="2" borderId="0" xfId="4" applyNumberFormat="1" applyFont="1" applyFill="1" applyAlignment="1" applyProtection="1">
      <alignment horizontal="center" vertical="center" wrapText="1"/>
      <protection locked="0"/>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165" fontId="40" fillId="2" borderId="1" xfId="4" applyNumberFormat="1" applyFont="1" applyFill="1" applyBorder="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5" borderId="1" xfId="4" applyNumberFormat="1" applyFont="1" applyFill="1" applyBorder="1" applyAlignment="1" applyProtection="1">
      <alignment horizontal="center" vertical="center"/>
      <protection locked="0"/>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40" fillId="4" borderId="0" xfId="0" applyFont="1" applyFill="1" applyAlignment="1">
      <alignment horizontal="center" vertical="center" wrapText="1"/>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55" fillId="3" borderId="0" xfId="2" applyFont="1" applyFill="1" applyAlignment="1">
      <alignment horizontal="center" vertical="center" wrapText="1"/>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26" fillId="5" borderId="0" xfId="0" applyFont="1" applyFill="1" applyAlignment="1" applyProtection="1">
      <alignment horizontal="center" vertical="center" wrapText="1"/>
      <protection locked="0"/>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0" fontId="46" fillId="4"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11"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Normal="100" workbookViewId="0">
      <selection activeCell="B10" sqref="B10:C10"/>
    </sheetView>
  </sheetViews>
  <sheetFormatPr baseColWidth="10" defaultColWidth="11.42578125" defaultRowHeight="20.25"/>
  <cols>
    <col min="1" max="1" width="0" style="6" hidden="1" customWidth="1"/>
    <col min="2" max="2" width="17.7109375" style="55" customWidth="1"/>
    <col min="3" max="3" width="19.85546875" style="55" customWidth="1"/>
    <col min="4" max="18" width="9.140625" style="6" customWidth="1"/>
    <col min="19" max="19" width="12.85546875" style="6" customWidth="1"/>
    <col min="20" max="26" width="9.140625" style="6" customWidth="1"/>
    <col min="27" max="16384" width="11.42578125" style="6"/>
  </cols>
  <sheetData>
    <row r="2" spans="2:35">
      <c r="E2" s="112" t="s">
        <v>548</v>
      </c>
      <c r="F2" s="112"/>
      <c r="G2" s="112"/>
      <c r="H2" s="112"/>
      <c r="I2" s="112"/>
      <c r="J2" s="112"/>
      <c r="K2" s="112"/>
      <c r="L2" s="112"/>
      <c r="M2" s="112"/>
      <c r="N2" s="112"/>
      <c r="O2" s="112"/>
      <c r="P2" s="112"/>
      <c r="Q2" s="112"/>
      <c r="R2" s="112"/>
      <c r="S2" s="112"/>
      <c r="T2" s="112"/>
      <c r="U2" s="112"/>
      <c r="V2" s="112"/>
    </row>
    <row r="3" spans="2:35" ht="21" thickBot="1">
      <c r="E3" s="113"/>
      <c r="F3" s="113"/>
      <c r="G3" s="113"/>
      <c r="H3" s="113"/>
      <c r="I3" s="113"/>
      <c r="J3" s="113"/>
      <c r="K3" s="113"/>
      <c r="L3" s="113"/>
      <c r="M3" s="113"/>
      <c r="N3" s="113"/>
      <c r="O3" s="113"/>
      <c r="P3" s="113"/>
      <c r="Q3" s="113"/>
      <c r="R3" s="113"/>
      <c r="S3" s="113"/>
      <c r="T3" s="113"/>
      <c r="U3" s="113"/>
      <c r="V3" s="113"/>
    </row>
    <row r="4" spans="2:35" ht="27">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7">
      <c r="B6" s="109" t="s">
        <v>616</v>
      </c>
      <c r="C6" s="109"/>
      <c r="E6" s="116" t="s">
        <v>477</v>
      </c>
      <c r="F6" s="116"/>
      <c r="G6" s="116"/>
      <c r="H6" s="117"/>
      <c r="I6" s="114" t="s">
        <v>481</v>
      </c>
      <c r="J6" s="115"/>
      <c r="K6" s="11"/>
      <c r="L6" s="11"/>
      <c r="M6" s="11"/>
      <c r="N6" s="11"/>
      <c r="O6" s="11"/>
      <c r="P6" s="11"/>
      <c r="Q6" s="11"/>
      <c r="R6" s="11"/>
      <c r="S6" s="11"/>
      <c r="T6" s="11"/>
      <c r="U6" s="11"/>
      <c r="V6" s="11"/>
      <c r="AI6" s="57" t="s">
        <v>482</v>
      </c>
    </row>
    <row r="7" spans="2:35" ht="14.25" customHeight="1">
      <c r="B7" s="109"/>
      <c r="C7" s="109"/>
      <c r="E7" s="11"/>
      <c r="F7" s="11"/>
      <c r="G7" s="11"/>
      <c r="H7" s="11"/>
      <c r="I7" s="11"/>
      <c r="J7" s="11"/>
      <c r="K7" s="11"/>
      <c r="L7" s="11"/>
      <c r="M7" s="11"/>
      <c r="N7" s="11"/>
      <c r="O7" s="11"/>
      <c r="P7" s="11"/>
      <c r="Q7" s="11"/>
      <c r="R7" s="11"/>
      <c r="S7" s="11"/>
      <c r="T7" s="11"/>
      <c r="U7" s="11"/>
      <c r="V7" s="11"/>
      <c r="AI7" s="57" t="s">
        <v>480</v>
      </c>
    </row>
    <row r="8" spans="2:35">
      <c r="B8" s="109" t="s">
        <v>0</v>
      </c>
      <c r="C8" s="109"/>
      <c r="AI8" s="57"/>
    </row>
    <row r="9" spans="2:35" ht="15" customHeight="1">
      <c r="B9" s="109"/>
      <c r="C9" s="109"/>
      <c r="E9" s="118" t="s">
        <v>597</v>
      </c>
      <c r="F9" s="118"/>
      <c r="G9" s="118"/>
      <c r="H9" s="118"/>
      <c r="I9" s="118"/>
      <c r="J9" s="118"/>
      <c r="K9" s="118"/>
      <c r="L9" s="118"/>
      <c r="M9" s="118"/>
      <c r="N9" s="118"/>
      <c r="O9" s="118"/>
      <c r="P9" s="118"/>
      <c r="Q9" s="118"/>
      <c r="R9" s="118"/>
      <c r="S9" s="118"/>
      <c r="T9" s="118"/>
      <c r="U9" s="118"/>
      <c r="V9" s="118"/>
    </row>
    <row r="10" spans="2:35">
      <c r="B10" s="109" t="s">
        <v>1</v>
      </c>
      <c r="C10" s="109"/>
      <c r="E10" s="118"/>
      <c r="F10" s="118"/>
      <c r="G10" s="118"/>
      <c r="H10" s="118"/>
      <c r="I10" s="118"/>
      <c r="J10" s="118"/>
      <c r="K10" s="118"/>
      <c r="L10" s="118"/>
      <c r="M10" s="118"/>
      <c r="N10" s="118"/>
      <c r="O10" s="118"/>
      <c r="P10" s="118"/>
      <c r="Q10" s="118"/>
      <c r="R10" s="118"/>
      <c r="S10" s="118"/>
      <c r="T10" s="118"/>
      <c r="U10" s="118"/>
      <c r="V10" s="118"/>
    </row>
    <row r="11" spans="2:35">
      <c r="B11" s="109"/>
      <c r="C11" s="109"/>
      <c r="E11" s="118"/>
      <c r="F11" s="118"/>
      <c r="G11" s="118"/>
      <c r="H11" s="118"/>
      <c r="I11" s="118"/>
      <c r="J11" s="118"/>
      <c r="K11" s="118"/>
      <c r="L11" s="118"/>
      <c r="M11" s="118"/>
      <c r="N11" s="118"/>
      <c r="O11" s="118"/>
      <c r="P11" s="118"/>
      <c r="Q11" s="118"/>
      <c r="R11" s="118"/>
      <c r="S11" s="118"/>
      <c r="T11" s="118"/>
      <c r="U11" s="118"/>
      <c r="V11" s="118"/>
    </row>
    <row r="12" spans="2:35">
      <c r="B12" s="109" t="s">
        <v>617</v>
      </c>
      <c r="C12" s="109"/>
      <c r="E12" s="12"/>
      <c r="F12" s="12"/>
      <c r="G12" s="12"/>
      <c r="H12" s="12"/>
      <c r="I12" s="12"/>
      <c r="J12" s="12"/>
      <c r="K12" s="12"/>
      <c r="L12" s="12"/>
      <c r="M12" s="12"/>
      <c r="N12" s="12"/>
      <c r="O12" s="12"/>
      <c r="P12" s="12"/>
      <c r="Q12" s="12"/>
      <c r="R12" s="12"/>
      <c r="S12" s="12"/>
      <c r="T12" s="12"/>
      <c r="U12" s="12"/>
      <c r="V12" s="12"/>
    </row>
    <row r="13" spans="2:35">
      <c r="B13" s="109"/>
      <c r="C13" s="109"/>
      <c r="E13" s="12" t="s">
        <v>596</v>
      </c>
      <c r="F13" s="12"/>
      <c r="G13" s="12"/>
      <c r="H13" s="12"/>
      <c r="I13" s="12"/>
      <c r="J13" s="12"/>
      <c r="K13" s="12"/>
      <c r="L13" s="12"/>
      <c r="M13" s="12"/>
      <c r="N13" s="12"/>
      <c r="O13" s="12"/>
      <c r="P13" s="12"/>
      <c r="Q13" s="12"/>
      <c r="R13" s="12"/>
      <c r="S13" s="12"/>
      <c r="T13" s="12"/>
      <c r="U13" s="12"/>
      <c r="V13" s="12"/>
    </row>
    <row r="14" spans="2:35" ht="19.5" customHeight="1">
      <c r="B14" s="109" t="s">
        <v>2</v>
      </c>
      <c r="C14" s="109"/>
      <c r="E14" s="13"/>
      <c r="F14" s="13"/>
      <c r="G14" s="107" t="s">
        <v>459</v>
      </c>
      <c r="H14" s="107"/>
      <c r="I14" s="12"/>
      <c r="L14" s="111"/>
      <c r="M14" s="111"/>
      <c r="N14" s="107" t="s">
        <v>460</v>
      </c>
      <c r="O14" s="107"/>
      <c r="S14" s="111"/>
      <c r="T14" s="111"/>
      <c r="U14" s="107" t="s">
        <v>461</v>
      </c>
      <c r="V14" s="107"/>
    </row>
    <row r="15" spans="2:35">
      <c r="B15" s="109"/>
      <c r="C15" s="109"/>
      <c r="E15" s="13"/>
      <c r="F15" s="13"/>
      <c r="G15" s="107"/>
      <c r="H15" s="107"/>
      <c r="I15" s="12"/>
      <c r="L15" s="111"/>
      <c r="M15" s="111"/>
      <c r="N15" s="107"/>
      <c r="O15" s="107"/>
      <c r="S15" s="111"/>
      <c r="T15" s="111"/>
      <c r="U15" s="107"/>
      <c r="V15" s="107"/>
    </row>
    <row r="16" spans="2:35">
      <c r="B16" s="109" t="s">
        <v>3</v>
      </c>
      <c r="C16" s="109"/>
      <c r="E16" s="13"/>
      <c r="F16" s="13"/>
      <c r="G16" s="107"/>
      <c r="H16" s="107"/>
      <c r="I16" s="12"/>
      <c r="L16" s="111"/>
      <c r="M16" s="111"/>
      <c r="N16" s="107"/>
      <c r="O16" s="107"/>
      <c r="S16" s="111"/>
      <c r="T16" s="111"/>
      <c r="U16" s="107"/>
      <c r="V16" s="107"/>
    </row>
    <row r="17" spans="2:22">
      <c r="B17" s="109"/>
      <c r="C17" s="109"/>
      <c r="E17" s="13"/>
      <c r="F17" s="13"/>
      <c r="G17" s="107"/>
      <c r="H17" s="107"/>
      <c r="I17" s="12"/>
      <c r="L17" s="111"/>
      <c r="M17" s="111"/>
      <c r="N17" s="107"/>
      <c r="O17" s="107"/>
      <c r="S17" s="111"/>
      <c r="T17" s="111"/>
      <c r="U17" s="107"/>
      <c r="V17" s="107"/>
    </row>
    <row r="18" spans="2:22" ht="41.25" customHeight="1">
      <c r="B18" s="109" t="s">
        <v>538</v>
      </c>
      <c r="C18" s="109"/>
      <c r="E18" s="13"/>
      <c r="F18" s="13"/>
      <c r="G18" s="107"/>
      <c r="H18" s="107"/>
      <c r="I18" s="12"/>
      <c r="L18" s="111"/>
      <c r="M18" s="111"/>
      <c r="N18" s="107"/>
      <c r="O18" s="107"/>
      <c r="S18" s="111"/>
      <c r="T18" s="111"/>
      <c r="U18" s="107"/>
      <c r="V18" s="107"/>
    </row>
    <row r="19" spans="2:22">
      <c r="B19" s="109"/>
      <c r="C19" s="109"/>
      <c r="E19" s="13"/>
      <c r="F19" s="13"/>
      <c r="G19" s="107"/>
      <c r="H19" s="107"/>
      <c r="I19" s="12"/>
      <c r="L19" s="111"/>
      <c r="M19" s="111"/>
      <c r="N19" s="107"/>
      <c r="O19" s="107"/>
      <c r="S19" s="111"/>
      <c r="T19" s="111"/>
      <c r="U19" s="107"/>
      <c r="V19" s="107"/>
    </row>
    <row r="20" spans="2:22">
      <c r="B20" s="109" t="s">
        <v>431</v>
      </c>
      <c r="C20" s="109"/>
      <c r="E20" s="12"/>
      <c r="F20" s="12"/>
      <c r="G20" s="12"/>
      <c r="H20" s="12"/>
      <c r="I20" s="14"/>
      <c r="J20" s="12"/>
      <c r="K20" s="12"/>
      <c r="L20" s="12"/>
      <c r="M20" s="12"/>
      <c r="N20" s="12"/>
      <c r="O20" s="12"/>
      <c r="P20" s="12"/>
      <c r="Q20" s="12"/>
      <c r="R20" s="12"/>
      <c r="S20" s="12"/>
      <c r="T20" s="12"/>
      <c r="U20" s="12"/>
      <c r="V20" s="12"/>
    </row>
    <row r="21" spans="2:22">
      <c r="B21" s="109"/>
      <c r="C21" s="109"/>
      <c r="E21" s="12"/>
      <c r="F21" s="12"/>
      <c r="G21" s="12"/>
      <c r="H21" s="12"/>
      <c r="I21" s="12"/>
      <c r="J21" s="12"/>
      <c r="K21" s="12"/>
      <c r="L21" s="12"/>
      <c r="M21" s="12"/>
      <c r="N21" s="12"/>
      <c r="O21" s="12"/>
      <c r="P21" s="12"/>
      <c r="Q21" s="12"/>
      <c r="R21" s="12"/>
      <c r="S21" s="12"/>
      <c r="T21" s="12"/>
      <c r="U21" s="12"/>
      <c r="V21" s="12"/>
    </row>
    <row r="22" spans="2:22" ht="55.5" customHeight="1">
      <c r="B22" s="109" t="s">
        <v>618</v>
      </c>
      <c r="C22" s="109"/>
      <c r="E22" s="108" t="s">
        <v>458</v>
      </c>
      <c r="F22" s="108"/>
      <c r="G22" s="108"/>
      <c r="H22" s="108"/>
      <c r="I22" s="108"/>
      <c r="J22" s="108"/>
      <c r="K22" s="108"/>
      <c r="L22" s="108"/>
      <c r="M22" s="108"/>
      <c r="N22" s="108"/>
      <c r="O22" s="108"/>
      <c r="P22" s="108"/>
      <c r="Q22" s="108"/>
      <c r="R22" s="108"/>
      <c r="S22" s="108"/>
      <c r="T22" s="110" t="s">
        <v>598</v>
      </c>
      <c r="U22" s="110"/>
      <c r="V22" s="110"/>
    </row>
    <row r="23" spans="2:22" ht="20.25" customHeight="1">
      <c r="E23" s="108"/>
      <c r="F23" s="108"/>
      <c r="G23" s="108"/>
      <c r="H23" s="108"/>
      <c r="I23" s="108"/>
      <c r="J23" s="108"/>
      <c r="K23" s="108"/>
      <c r="L23" s="108"/>
      <c r="M23" s="108"/>
      <c r="N23" s="108"/>
      <c r="O23" s="108"/>
      <c r="P23" s="108"/>
      <c r="Q23" s="108"/>
      <c r="R23" s="108"/>
      <c r="S23" s="108"/>
      <c r="T23" s="110"/>
      <c r="U23" s="110"/>
      <c r="V23" s="110"/>
    </row>
    <row r="24" spans="2:22" ht="3" customHeight="1">
      <c r="E24" s="108"/>
      <c r="F24" s="108"/>
      <c r="G24" s="108"/>
      <c r="H24" s="108"/>
      <c r="I24" s="108"/>
      <c r="J24" s="108"/>
      <c r="K24" s="108"/>
      <c r="L24" s="108"/>
      <c r="M24" s="108"/>
      <c r="N24" s="108"/>
      <c r="O24" s="108"/>
      <c r="P24" s="108"/>
      <c r="Q24" s="108"/>
      <c r="R24" s="108"/>
      <c r="S24" s="108"/>
      <c r="T24" s="110"/>
      <c r="U24" s="110"/>
      <c r="V24" s="110"/>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B12:C12"/>
    <mergeCell ref="G14:H19"/>
    <mergeCell ref="B11:C11"/>
    <mergeCell ref="B22:C22"/>
    <mergeCell ref="N14:O19"/>
    <mergeCell ref="B14:C14"/>
    <mergeCell ref="B13:C13"/>
    <mergeCell ref="B15:C15"/>
    <mergeCell ref="B17:C17"/>
    <mergeCell ref="B19:C19"/>
    <mergeCell ref="L14:M19"/>
    <mergeCell ref="B7:C7"/>
    <mergeCell ref="B9:C9"/>
    <mergeCell ref="E2:V3"/>
    <mergeCell ref="B6:C6"/>
    <mergeCell ref="B8:C8"/>
    <mergeCell ref="I6:J6"/>
    <mergeCell ref="E6:H6"/>
    <mergeCell ref="E9:V11"/>
    <mergeCell ref="B10:C10"/>
    <mergeCell ref="U14:V19"/>
    <mergeCell ref="E22:S24"/>
    <mergeCell ref="B21:C21"/>
    <mergeCell ref="B16:C16"/>
    <mergeCell ref="B18:C18"/>
    <mergeCell ref="T22:V23"/>
    <mergeCell ref="T24:V24"/>
    <mergeCell ref="B20:C20"/>
    <mergeCell ref="S14:T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2578125" defaultRowHeight="15.75"/>
  <cols>
    <col min="1" max="2" width="13.140625" style="27" customWidth="1"/>
    <col min="3" max="3" width="15" style="27" customWidth="1"/>
    <col min="4" max="5" width="13.140625" style="27" customWidth="1"/>
    <col min="6" max="6" width="15.5703125" style="27" customWidth="1"/>
    <col min="7" max="15" width="13.140625" style="27" customWidth="1"/>
    <col min="16" max="25" width="22.7109375" style="27" customWidth="1"/>
    <col min="26" max="29" width="37.140625" style="27" customWidth="1"/>
    <col min="30" max="45" width="14" style="27" customWidth="1"/>
    <col min="46" max="54" width="14.28515625" style="27" customWidth="1"/>
    <col min="55" max="55" width="14" style="27" customWidth="1"/>
    <col min="56" max="56" width="14.42578125" style="27" customWidth="1"/>
    <col min="57" max="57" width="15.85546875" style="27" customWidth="1"/>
    <col min="58" max="58" width="14.5703125" style="27" customWidth="1"/>
    <col min="59" max="60" width="15.7109375" style="27" customWidth="1"/>
    <col min="61" max="69" width="14.5703125" style="27" customWidth="1"/>
    <col min="70" max="71" width="16.140625" style="27" customWidth="1"/>
    <col min="72" max="16384" width="11.42578125" style="27"/>
  </cols>
  <sheetData>
    <row r="1" spans="1:71" s="53" customFormat="1" ht="24.75" customHeight="1">
      <c r="A1" s="238" t="s">
        <v>558</v>
      </c>
      <c r="B1" s="238"/>
      <c r="C1" s="238"/>
      <c r="D1" s="238"/>
      <c r="E1" s="238"/>
      <c r="F1" s="238"/>
      <c r="G1" s="238"/>
      <c r="H1" s="238"/>
      <c r="I1" s="238"/>
      <c r="J1" s="238"/>
      <c r="K1" s="238"/>
      <c r="L1" s="238"/>
      <c r="M1" s="238"/>
      <c r="N1" s="238"/>
      <c r="O1" s="238"/>
      <c r="P1" s="240" t="s">
        <v>559</v>
      </c>
      <c r="Q1" s="240"/>
      <c r="R1" s="240"/>
      <c r="S1" s="240"/>
      <c r="T1" s="240"/>
      <c r="U1" s="240"/>
      <c r="V1" s="240"/>
      <c r="W1" s="240"/>
      <c r="X1" s="240"/>
      <c r="Y1" s="240"/>
      <c r="Z1" s="241" t="s">
        <v>560</v>
      </c>
      <c r="AA1" s="241"/>
      <c r="AB1" s="241"/>
      <c r="AC1" s="241"/>
      <c r="AD1" s="242" t="s">
        <v>564</v>
      </c>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4"/>
      <c r="BC1" s="245" t="s">
        <v>567</v>
      </c>
      <c r="BD1" s="246"/>
      <c r="BE1" s="246"/>
      <c r="BF1" s="247"/>
      <c r="BG1" s="242" t="s">
        <v>568</v>
      </c>
      <c r="BH1" s="243"/>
      <c r="BI1" s="243"/>
      <c r="BJ1" s="243"/>
      <c r="BK1" s="243"/>
      <c r="BL1" s="243"/>
      <c r="BM1" s="243"/>
      <c r="BN1" s="243"/>
      <c r="BO1" s="243"/>
      <c r="BP1" s="243"/>
      <c r="BQ1" s="244"/>
      <c r="BR1" s="241" t="s">
        <v>569</v>
      </c>
      <c r="BS1" s="241"/>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8" t="s">
        <v>518</v>
      </c>
      <c r="BD2" s="249"/>
      <c r="BE2" s="248" t="s">
        <v>519</v>
      </c>
      <c r="BF2" s="249"/>
      <c r="BG2" s="248" t="s">
        <v>511</v>
      </c>
      <c r="BH2" s="249"/>
      <c r="BI2" s="248" t="s">
        <v>493</v>
      </c>
      <c r="BJ2" s="250"/>
      <c r="BK2" s="250"/>
      <c r="BL2" s="250"/>
      <c r="BM2" s="250"/>
      <c r="BN2" s="249"/>
      <c r="BO2" s="248" t="s">
        <v>494</v>
      </c>
      <c r="BP2" s="250"/>
      <c r="BQ2" s="249"/>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45527</v>
      </c>
      <c r="B4" s="49" t="str">
        <f>+Usuarios!$K$11</f>
        <v>ANA MARÍA TRUJILLO CORONADO</v>
      </c>
      <c r="C4" s="48">
        <f>+Usuarios!$O$11</f>
        <v>45610</v>
      </c>
      <c r="D4" s="48">
        <f>+Usuarios!$H$13</f>
        <v>45406</v>
      </c>
      <c r="E4" s="49" t="str">
        <f>+Usuarios!$K$13</f>
        <v xml:space="preserve">MARÍA CAMILA PARDO REYES </v>
      </c>
      <c r="F4" s="48">
        <f>+Usuarios!$O$13</f>
        <v>45491</v>
      </c>
      <c r="G4" s="48">
        <f>+Usuarios!$H$15</f>
        <v>42198</v>
      </c>
      <c r="H4" s="49" t="str">
        <f>+Usuarios!$K$15</f>
        <v>DORIS YOLANDA RAMOS VEGA</v>
      </c>
      <c r="I4" s="48">
        <f>+Usuarios!$O$15</f>
        <v>45313</v>
      </c>
      <c r="J4" s="48">
        <f>+Usuarios!$H$17</f>
        <v>45789</v>
      </c>
      <c r="K4" s="49" t="str">
        <f>+Usuarios!$K$17</f>
        <v>ELIANA TRUJILLO CHAVEZ</v>
      </c>
      <c r="L4" s="48">
        <f>+Usuarios!$O$17</f>
        <v>45499</v>
      </c>
      <c r="M4" s="48">
        <f>+Usuarios!$H$19</f>
        <v>45411</v>
      </c>
      <c r="N4" s="49" t="str">
        <f>+Usuarios!$K$19</f>
        <v xml:space="preserve">MARÍA CAMILA PARDO REYES </v>
      </c>
      <c r="O4" s="48">
        <f>+Usuarios!$O$19</f>
        <v>45491</v>
      </c>
      <c r="P4" s="76">
        <f>+Abogados!$G$9</f>
        <v>2</v>
      </c>
      <c r="Q4" s="76">
        <f>+Abogados!$J$9</f>
        <v>4</v>
      </c>
      <c r="R4" s="76">
        <f>+Abogados!$M$9</f>
        <v>0</v>
      </c>
      <c r="S4" s="76">
        <f>+Abogados!$P$9</f>
        <v>0</v>
      </c>
      <c r="T4" s="76">
        <f>+Abogados!$I$19</f>
        <v>2</v>
      </c>
      <c r="U4" s="76">
        <f>+Abogados!$I$21</f>
        <v>1</v>
      </c>
      <c r="V4" s="76">
        <f>+Abogados!I23</f>
        <v>1</v>
      </c>
      <c r="W4" s="76">
        <f>+Abogados!$P$19</f>
        <v>0</v>
      </c>
      <c r="X4" s="76">
        <f>+Abogados!$P$21</f>
        <v>0</v>
      </c>
      <c r="Y4" s="76">
        <f>+Abogados!$P$23</f>
        <v>2</v>
      </c>
      <c r="Z4" s="76">
        <f>+'Registro Casos'!$P$10</f>
        <v>10</v>
      </c>
      <c r="AA4" s="76">
        <f>+'Registro Casos'!$P$13</f>
        <v>10</v>
      </c>
      <c r="AB4" s="76">
        <f>+'Registro Casos'!$P$16</f>
        <v>2</v>
      </c>
      <c r="AC4" s="76">
        <f>+'Registro Casos'!$P$19</f>
        <v>8</v>
      </c>
      <c r="AD4" s="76">
        <f>+Judiciales!$L$12</f>
        <v>46</v>
      </c>
      <c r="AE4" s="76">
        <f>+Judiciales!$L$14</f>
        <v>46</v>
      </c>
      <c r="AF4" s="76">
        <f>+Judiciales!$L$16</f>
        <v>0</v>
      </c>
      <c r="AG4" s="76">
        <f>+Judiciales!$L$21</f>
        <v>0</v>
      </c>
      <c r="AH4" s="76">
        <f>+Judiciales!$L$23</f>
        <v>0</v>
      </c>
      <c r="AI4" s="76">
        <f>+Judiciales!$L$32</f>
        <v>0</v>
      </c>
      <c r="AJ4" s="76">
        <f>+Judiciales!$L$34</f>
        <v>0</v>
      </c>
      <c r="AK4" s="76">
        <f>+Judiciales!$L$36</f>
        <v>0</v>
      </c>
      <c r="AL4" s="76">
        <f>+Judiciales!$L$38</f>
        <v>0</v>
      </c>
      <c r="AM4" s="76">
        <f>+Judiciales!$L$40</f>
        <v>0</v>
      </c>
      <c r="AN4" s="76">
        <f>+Judiciales!$U$12</f>
        <v>0</v>
      </c>
      <c r="AO4" s="76">
        <f>+Judiciales!$U$14</f>
        <v>0</v>
      </c>
      <c r="AP4" s="76">
        <f>+Judiciales!$U$16</f>
        <v>0</v>
      </c>
      <c r="AQ4" s="76">
        <f>+Judiciales!$U$21</f>
        <v>46</v>
      </c>
      <c r="AR4" s="76">
        <f>+Judiciales!$U$23</f>
        <v>45</v>
      </c>
      <c r="AS4" s="76">
        <f>+Judiciales!$U$25</f>
        <v>1</v>
      </c>
      <c r="AT4" s="76">
        <f>+Judiciales!$U$27</f>
        <v>0</v>
      </c>
      <c r="AU4" s="76">
        <f>+Judiciales!$S$32</f>
        <v>2</v>
      </c>
      <c r="AV4" s="76">
        <f>+Judiciales!$T$32</f>
        <v>0</v>
      </c>
      <c r="AW4" s="76">
        <f>+Judiciales!$S$34</f>
        <v>1</v>
      </c>
      <c r="AX4" s="76">
        <f>+Judiciales!$T$34</f>
        <v>0</v>
      </c>
      <c r="AY4" s="76">
        <f>+Judiciales!$S$36</f>
        <v>2</v>
      </c>
      <c r="AZ4" s="76">
        <f>+Judiciales!$T$36</f>
        <v>1</v>
      </c>
      <c r="BA4" s="76">
        <f>+Judiciales!$S$38</f>
        <v>41</v>
      </c>
      <c r="BB4" s="76">
        <f>+Judiciales!$T$38</f>
        <v>41</v>
      </c>
      <c r="BC4" s="76">
        <f>+Arbitramentos!$L$11</f>
        <v>0</v>
      </c>
      <c r="BD4" s="76">
        <f>+Arbitramentos!$L$13</f>
        <v>0</v>
      </c>
      <c r="BE4" s="76">
        <f>+Arbitramentos!$U$11</f>
        <v>0</v>
      </c>
      <c r="BF4" s="76">
        <f>+Arbitramentos!$U$13</f>
        <v>0</v>
      </c>
      <c r="BG4" s="49" t="str">
        <f>+'Comité de conciliación'!$R$8</f>
        <v>SI</v>
      </c>
      <c r="BH4" s="49" t="str">
        <f>+'Comité de conciliación'!$R$10</f>
        <v>SI</v>
      </c>
      <c r="BI4" s="76">
        <f>+'Comité de conciliación'!$J$15</f>
        <v>0</v>
      </c>
      <c r="BJ4" s="76">
        <f>+'Comité de conciliación'!$L$15</f>
        <v>0</v>
      </c>
      <c r="BK4" s="76">
        <f>+'Comité de conciliación'!$J$16</f>
        <v>2</v>
      </c>
      <c r="BL4" s="76">
        <f>+'Comité de conciliación'!$L$16</f>
        <v>0</v>
      </c>
      <c r="BM4" s="76">
        <f>+'Comité de conciliación'!$J$17</f>
        <v>1</v>
      </c>
      <c r="BN4" s="76">
        <f>+'Comité de conciliación'!$L$17</f>
        <v>0</v>
      </c>
      <c r="BO4" s="76">
        <f>+'Comité de conciliación'!$J$20</f>
        <v>0</v>
      </c>
      <c r="BP4" s="76">
        <f>+'Comité de conciliación'!$J$21</f>
        <v>0</v>
      </c>
      <c r="BQ4" s="76">
        <f>+'Comité de conciliación'!$J$22</f>
        <v>0</v>
      </c>
      <c r="BR4" s="49" t="str">
        <f>+Pagos!$R$9</f>
        <v>SI</v>
      </c>
      <c r="BS4" s="76">
        <f>+Pagos!R11</f>
        <v>2</v>
      </c>
    </row>
  </sheetData>
  <mergeCells count="28">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 ref="P2:S2"/>
    <mergeCell ref="T2:V2"/>
    <mergeCell ref="W2:Y2"/>
    <mergeCell ref="P1:Y1"/>
    <mergeCell ref="Z2:AC2"/>
    <mergeCell ref="Z1:AC1"/>
    <mergeCell ref="A1:O1"/>
    <mergeCell ref="A2:C2"/>
    <mergeCell ref="D2:F2"/>
    <mergeCell ref="G2:I2"/>
    <mergeCell ref="J2:L2"/>
    <mergeCell ref="M2:O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5"/>
  <cols>
    <col min="1" max="1" width="23.28515625" customWidth="1"/>
    <col min="2" max="2" width="29.85546875" bestFit="1" customWidth="1"/>
    <col min="3" max="3" width="11.85546875" bestFit="1" customWidth="1"/>
    <col min="5" max="5" width="88.710937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75">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SI</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2578125" defaultRowHeight="15"/>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B1" zoomScale="70" zoomScaleNormal="70" workbookViewId="0">
      <selection activeCell="O21" sqref="O21"/>
    </sheetView>
  </sheetViews>
  <sheetFormatPr baseColWidth="10" defaultColWidth="9.140625" defaultRowHeight="20.25"/>
  <cols>
    <col min="1" max="1" width="0" style="6" hidden="1" customWidth="1"/>
    <col min="2" max="2" width="17.7109375" style="55" customWidth="1"/>
    <col min="3" max="3" width="19.85546875" style="55" customWidth="1"/>
    <col min="4" max="6" width="9.140625" style="6"/>
    <col min="7" max="7" width="14.85546875" style="6" customWidth="1"/>
    <col min="8" max="9" width="9.140625" style="6"/>
    <col min="10" max="10" width="14.5703125" style="6" customWidth="1"/>
    <col min="11" max="13" width="9.140625" style="6"/>
    <col min="14" max="14" width="16.140625" style="6" customWidth="1"/>
    <col min="15" max="16" width="9.140625" style="6"/>
    <col min="17" max="17" width="16.140625" style="6" customWidth="1"/>
    <col min="18" max="19" width="5.7109375" style="57" customWidth="1"/>
    <col min="20" max="21" width="9.140625" style="6"/>
    <col min="22" max="22" width="16.85546875" style="6" customWidth="1"/>
    <col min="23" max="16384" width="9.140625" style="6"/>
  </cols>
  <sheetData>
    <row r="2" spans="2:22" ht="15" customHeight="1">
      <c r="E2" s="131" t="s">
        <v>0</v>
      </c>
      <c r="F2" s="131"/>
      <c r="G2" s="131"/>
      <c r="H2" s="131"/>
      <c r="I2" s="131"/>
      <c r="J2" s="131"/>
      <c r="K2" s="131"/>
      <c r="L2" s="131"/>
      <c r="M2" s="131"/>
      <c r="N2" s="131"/>
      <c r="O2" s="131"/>
      <c r="P2" s="131"/>
      <c r="Q2" s="131"/>
      <c r="R2" s="131"/>
      <c r="S2" s="131"/>
      <c r="T2" s="131"/>
      <c r="U2" s="131"/>
      <c r="V2" s="131"/>
    </row>
    <row r="3" spans="2:22" ht="15" customHeight="1" thickBot="1">
      <c r="E3" s="132"/>
      <c r="F3" s="132"/>
      <c r="G3" s="132"/>
      <c r="H3" s="132"/>
      <c r="I3" s="132"/>
      <c r="J3" s="132"/>
      <c r="K3" s="132"/>
      <c r="L3" s="132"/>
      <c r="M3" s="132"/>
      <c r="N3" s="132"/>
      <c r="O3" s="132"/>
      <c r="P3" s="132"/>
      <c r="Q3" s="132"/>
      <c r="R3" s="132"/>
      <c r="S3" s="132"/>
      <c r="T3" s="132"/>
      <c r="U3" s="132"/>
      <c r="V3" s="132"/>
    </row>
    <row r="5" spans="2:22" ht="15" customHeight="1">
      <c r="E5" s="118" t="s">
        <v>535</v>
      </c>
      <c r="F5" s="118"/>
      <c r="G5" s="118"/>
      <c r="H5" s="118"/>
      <c r="I5" s="118"/>
      <c r="J5" s="118"/>
      <c r="K5" s="118"/>
      <c r="L5" s="118"/>
      <c r="M5" s="118"/>
      <c r="N5" s="118"/>
      <c r="O5" s="118"/>
      <c r="P5" s="118"/>
      <c r="Q5" s="118"/>
      <c r="R5" s="20"/>
      <c r="S5" s="20"/>
      <c r="T5" s="135" t="s">
        <v>620</v>
      </c>
      <c r="U5" s="135"/>
      <c r="V5" s="135"/>
    </row>
    <row r="6" spans="2:22" ht="18.75" customHeight="1">
      <c r="B6" s="109" t="s">
        <v>616</v>
      </c>
      <c r="C6" s="109"/>
      <c r="E6" s="118"/>
      <c r="F6" s="118"/>
      <c r="G6" s="118"/>
      <c r="H6" s="118"/>
      <c r="I6" s="118"/>
      <c r="J6" s="118"/>
      <c r="K6" s="118"/>
      <c r="L6" s="118"/>
      <c r="M6" s="118"/>
      <c r="N6" s="118"/>
      <c r="O6" s="118"/>
      <c r="P6" s="118"/>
      <c r="Q6" s="118"/>
      <c r="R6" s="20"/>
      <c r="S6" s="20"/>
      <c r="T6" s="135"/>
      <c r="U6" s="135"/>
      <c r="V6" s="135"/>
    </row>
    <row r="7" spans="2:22">
      <c r="B7" s="109"/>
      <c r="C7" s="109"/>
      <c r="E7" s="15"/>
      <c r="F7" s="15"/>
      <c r="G7" s="15"/>
      <c r="H7" s="15"/>
      <c r="I7" s="15"/>
      <c r="J7" s="15"/>
      <c r="N7" s="12"/>
      <c r="O7" s="12"/>
      <c r="P7" s="12"/>
      <c r="Q7" s="12"/>
      <c r="T7" s="135"/>
      <c r="U7" s="135"/>
      <c r="V7" s="135"/>
    </row>
    <row r="8" spans="2:22" ht="31.5" customHeight="1">
      <c r="B8" s="109" t="s">
        <v>0</v>
      </c>
      <c r="C8" s="109"/>
      <c r="E8" s="133" t="s">
        <v>433</v>
      </c>
      <c r="F8" s="133"/>
      <c r="G8" s="134"/>
      <c r="H8" s="133" t="s">
        <v>571</v>
      </c>
      <c r="I8" s="133"/>
      <c r="J8" s="134"/>
      <c r="K8" s="133" t="s">
        <v>640</v>
      </c>
      <c r="L8" s="133"/>
      <c r="M8" s="133"/>
      <c r="N8" s="137"/>
      <c r="O8" s="138" t="s">
        <v>552</v>
      </c>
      <c r="P8" s="133"/>
      <c r="Q8" s="133"/>
      <c r="T8" s="135"/>
      <c r="U8" s="135"/>
      <c r="V8" s="135"/>
    </row>
    <row r="9" spans="2:22" ht="19.5" customHeight="1">
      <c r="B9" s="109"/>
      <c r="C9" s="109"/>
      <c r="E9" s="133"/>
      <c r="F9" s="133"/>
      <c r="G9" s="134"/>
      <c r="H9" s="133"/>
      <c r="I9" s="133"/>
      <c r="J9" s="134"/>
      <c r="K9" s="133"/>
      <c r="L9" s="133"/>
      <c r="M9" s="133"/>
      <c r="N9" s="137"/>
      <c r="O9" s="138"/>
      <c r="P9" s="133"/>
      <c r="Q9" s="133"/>
      <c r="T9" s="135"/>
      <c r="U9" s="135"/>
      <c r="V9" s="135"/>
    </row>
    <row r="10" spans="2:22" ht="26.25" customHeight="1">
      <c r="B10" s="109" t="s">
        <v>1</v>
      </c>
      <c r="C10" s="109"/>
      <c r="E10" s="43"/>
      <c r="F10" s="43"/>
      <c r="G10" s="43"/>
      <c r="H10" s="43"/>
      <c r="I10" s="43"/>
      <c r="J10" s="43"/>
      <c r="K10" s="43"/>
      <c r="L10" s="43"/>
      <c r="M10" s="43"/>
      <c r="N10" s="43"/>
      <c r="O10" s="43"/>
      <c r="P10" s="43"/>
      <c r="Q10" s="43"/>
      <c r="R10" s="58"/>
      <c r="S10" s="58"/>
      <c r="T10" s="135"/>
      <c r="U10" s="135"/>
      <c r="V10" s="135"/>
    </row>
    <row r="11" spans="2:22" ht="24" customHeight="1">
      <c r="B11" s="109"/>
      <c r="C11" s="109"/>
      <c r="E11" s="119" t="s">
        <v>529</v>
      </c>
      <c r="F11" s="119"/>
      <c r="G11" s="120"/>
      <c r="H11" s="121">
        <v>45527</v>
      </c>
      <c r="I11" s="122"/>
      <c r="J11" s="123"/>
      <c r="K11" s="140" t="s">
        <v>649</v>
      </c>
      <c r="L11" s="141"/>
      <c r="M11" s="141"/>
      <c r="N11" s="142"/>
      <c r="O11" s="139">
        <v>45610</v>
      </c>
      <c r="P11" s="122"/>
      <c r="Q11" s="122"/>
      <c r="T11" s="135"/>
      <c r="U11" s="135"/>
      <c r="V11" s="135"/>
    </row>
    <row r="12" spans="2:22" ht="24" customHeight="1">
      <c r="B12" s="109" t="s">
        <v>617</v>
      </c>
      <c r="C12" s="109"/>
      <c r="E12" s="119"/>
      <c r="F12" s="119"/>
      <c r="G12" s="120"/>
      <c r="H12" s="124"/>
      <c r="I12" s="122"/>
      <c r="J12" s="123"/>
      <c r="K12" s="140"/>
      <c r="L12" s="141"/>
      <c r="M12" s="141"/>
      <c r="N12" s="142"/>
      <c r="O12" s="122"/>
      <c r="P12" s="122"/>
      <c r="Q12" s="122"/>
      <c r="R12" s="59">
        <f>IFERROR(LOOKUP(O11,Administrador!$H$9:$H$11,Administrador!$I$9:$I$11),0)</f>
        <v>2</v>
      </c>
      <c r="S12" s="59" t="str">
        <f>IF(R12=0,1,"")</f>
        <v/>
      </c>
      <c r="T12" s="110" t="s">
        <v>598</v>
      </c>
      <c r="U12" s="110"/>
      <c r="V12" s="110"/>
    </row>
    <row r="13" spans="2:22" ht="24" customHeight="1">
      <c r="B13" s="109"/>
      <c r="C13" s="109"/>
      <c r="E13" s="129" t="s">
        <v>530</v>
      </c>
      <c r="F13" s="129"/>
      <c r="G13" s="130"/>
      <c r="H13" s="125">
        <v>45406</v>
      </c>
      <c r="I13" s="126"/>
      <c r="J13" s="127"/>
      <c r="K13" s="143" t="s">
        <v>650</v>
      </c>
      <c r="L13" s="144"/>
      <c r="M13" s="144"/>
      <c r="N13" s="145"/>
      <c r="O13" s="125">
        <v>45491</v>
      </c>
      <c r="P13" s="146"/>
      <c r="Q13" s="146"/>
      <c r="R13" s="59"/>
      <c r="S13" s="59"/>
      <c r="T13" s="110"/>
      <c r="U13" s="110"/>
      <c r="V13" s="110"/>
    </row>
    <row r="14" spans="2:22" ht="24" customHeight="1">
      <c r="B14" s="109" t="s">
        <v>2</v>
      </c>
      <c r="C14" s="109"/>
      <c r="E14" s="129"/>
      <c r="F14" s="129"/>
      <c r="G14" s="130"/>
      <c r="H14" s="128"/>
      <c r="I14" s="126"/>
      <c r="J14" s="127"/>
      <c r="K14" s="143"/>
      <c r="L14" s="144"/>
      <c r="M14" s="144"/>
      <c r="N14" s="145"/>
      <c r="O14" s="125"/>
      <c r="P14" s="146"/>
      <c r="Q14" s="146"/>
      <c r="R14" s="59">
        <f>IFERROR(LOOKUP(O13,Administrador!$H$9:$H$11,Administrador!$I$9:$I$11),0)</f>
        <v>2</v>
      </c>
      <c r="S14" s="59" t="str">
        <f>IF(R14=0,1,"")</f>
        <v/>
      </c>
      <c r="T14" s="136"/>
      <c r="U14" s="136"/>
      <c r="V14" s="136"/>
    </row>
    <row r="15" spans="2:22" ht="24" customHeight="1">
      <c r="B15" s="109"/>
      <c r="C15" s="109"/>
      <c r="E15" s="119" t="s">
        <v>531</v>
      </c>
      <c r="F15" s="119"/>
      <c r="G15" s="120"/>
      <c r="H15" s="121">
        <v>42198</v>
      </c>
      <c r="I15" s="122"/>
      <c r="J15" s="123"/>
      <c r="K15" s="140" t="s">
        <v>651</v>
      </c>
      <c r="L15" s="141"/>
      <c r="M15" s="141"/>
      <c r="N15" s="142"/>
      <c r="O15" s="121">
        <v>45313</v>
      </c>
      <c r="P15" s="139"/>
      <c r="Q15" s="139"/>
      <c r="R15" s="59"/>
      <c r="S15" s="59"/>
    </row>
    <row r="16" spans="2:22" ht="24" customHeight="1">
      <c r="B16" s="109" t="s">
        <v>3</v>
      </c>
      <c r="C16" s="109"/>
      <c r="E16" s="119"/>
      <c r="F16" s="119"/>
      <c r="G16" s="120"/>
      <c r="H16" s="124"/>
      <c r="I16" s="122"/>
      <c r="J16" s="123"/>
      <c r="K16" s="140"/>
      <c r="L16" s="141"/>
      <c r="M16" s="141"/>
      <c r="N16" s="142"/>
      <c r="O16" s="121"/>
      <c r="P16" s="139"/>
      <c r="Q16" s="139"/>
      <c r="R16" s="59">
        <f>IFERROR(LOOKUP(O15,Administrador!$H$9:$H$11,Administrador!$I$9:$I$11),0)</f>
        <v>2</v>
      </c>
      <c r="S16" s="59" t="str">
        <f>IF(R16=0,1,"")</f>
        <v/>
      </c>
      <c r="T16" s="148" t="s">
        <v>641</v>
      </c>
      <c r="U16" s="148"/>
      <c r="V16" s="148"/>
    </row>
    <row r="17" spans="2:22" ht="24" customHeight="1">
      <c r="B17" s="109"/>
      <c r="C17" s="109"/>
      <c r="E17" s="129" t="s">
        <v>532</v>
      </c>
      <c r="F17" s="129"/>
      <c r="G17" s="130"/>
      <c r="H17" s="125">
        <v>45789</v>
      </c>
      <c r="I17" s="126"/>
      <c r="J17" s="127"/>
      <c r="K17" s="143" t="s">
        <v>652</v>
      </c>
      <c r="L17" s="144"/>
      <c r="M17" s="144"/>
      <c r="N17" s="145"/>
      <c r="O17" s="125">
        <v>45499</v>
      </c>
      <c r="P17" s="146"/>
      <c r="Q17" s="146"/>
      <c r="S17" s="59"/>
      <c r="T17" s="148"/>
      <c r="U17" s="148"/>
      <c r="V17" s="148"/>
    </row>
    <row r="18" spans="2:22" ht="24" customHeight="1">
      <c r="B18" s="109" t="s">
        <v>538</v>
      </c>
      <c r="C18" s="109"/>
      <c r="E18" s="129"/>
      <c r="F18" s="129"/>
      <c r="G18" s="130"/>
      <c r="H18" s="128"/>
      <c r="I18" s="126"/>
      <c r="J18" s="127"/>
      <c r="K18" s="143"/>
      <c r="L18" s="144"/>
      <c r="M18" s="144"/>
      <c r="N18" s="145"/>
      <c r="O18" s="125"/>
      <c r="P18" s="146"/>
      <c r="Q18" s="146"/>
      <c r="R18" s="59">
        <f>IFERROR(LOOKUP(O17,Administrador!$H$9:$H$11,Administrador!$I$9:$I$11),0)</f>
        <v>2</v>
      </c>
      <c r="S18" s="59" t="str">
        <f>IF(R18=0,1,"")</f>
        <v/>
      </c>
      <c r="T18" s="148"/>
      <c r="U18" s="148"/>
      <c r="V18" s="148"/>
    </row>
    <row r="19" spans="2:22" ht="24" customHeight="1">
      <c r="B19" s="109"/>
      <c r="C19" s="109"/>
      <c r="E19" s="119" t="s">
        <v>533</v>
      </c>
      <c r="F19" s="119"/>
      <c r="G19" s="120"/>
      <c r="H19" s="121">
        <v>45411</v>
      </c>
      <c r="I19" s="122"/>
      <c r="J19" s="123"/>
      <c r="K19" s="140" t="s">
        <v>650</v>
      </c>
      <c r="L19" s="141"/>
      <c r="M19" s="141"/>
      <c r="N19" s="142"/>
      <c r="O19" s="121">
        <v>45491</v>
      </c>
      <c r="P19" s="139"/>
      <c r="Q19" s="139"/>
      <c r="S19" s="59"/>
      <c r="T19" s="148"/>
      <c r="U19" s="148"/>
      <c r="V19" s="148"/>
    </row>
    <row r="20" spans="2:22" ht="24" customHeight="1">
      <c r="B20" s="109" t="s">
        <v>431</v>
      </c>
      <c r="C20" s="109"/>
      <c r="E20" s="119"/>
      <c r="F20" s="119"/>
      <c r="G20" s="120"/>
      <c r="H20" s="124"/>
      <c r="I20" s="122"/>
      <c r="J20" s="123"/>
      <c r="K20" s="140"/>
      <c r="L20" s="141"/>
      <c r="M20" s="141"/>
      <c r="N20" s="142"/>
      <c r="O20" s="121"/>
      <c r="P20" s="139"/>
      <c r="Q20" s="139"/>
      <c r="R20" s="59">
        <f>IFERROR(LOOKUP(O19,Administrador!$H$9:$H$11,Administrador!$I$9:$I$11),0)</f>
        <v>2</v>
      </c>
      <c r="S20" s="59" t="str">
        <f>IF(R20=0,1,"")</f>
        <v/>
      </c>
      <c r="T20" s="148"/>
      <c r="U20" s="148"/>
      <c r="V20" s="148"/>
    </row>
    <row r="21" spans="2:22" ht="24" customHeight="1">
      <c r="B21" s="109"/>
      <c r="C21" s="109"/>
      <c r="T21" s="148"/>
      <c r="U21" s="148"/>
      <c r="V21" s="148"/>
    </row>
    <row r="22" spans="2:22" ht="37.5" customHeight="1">
      <c r="B22" s="109" t="s">
        <v>618</v>
      </c>
      <c r="C22" s="109"/>
      <c r="E22" s="147" t="s">
        <v>619</v>
      </c>
      <c r="F22" s="147"/>
      <c r="G22" s="147"/>
      <c r="H22" s="147"/>
      <c r="I22" s="147"/>
      <c r="J22" s="147"/>
      <c r="K22" s="147"/>
      <c r="L22" s="147"/>
      <c r="M22" s="147"/>
      <c r="N22" s="147"/>
      <c r="O22" s="147"/>
      <c r="P22" s="147"/>
      <c r="Q22" s="147"/>
      <c r="T22" s="148"/>
      <c r="U22" s="148"/>
      <c r="V22" s="148"/>
    </row>
    <row r="23" spans="2:22" ht="15.75" customHeight="1">
      <c r="E23" s="147"/>
      <c r="F23" s="147"/>
      <c r="G23" s="147"/>
      <c r="H23" s="147"/>
      <c r="I23" s="147"/>
      <c r="J23" s="147"/>
      <c r="K23" s="147"/>
      <c r="L23" s="147"/>
      <c r="M23" s="147"/>
      <c r="N23" s="147"/>
      <c r="O23" s="147"/>
      <c r="P23" s="147"/>
      <c r="Q23" s="147"/>
      <c r="T23" s="148"/>
      <c r="U23" s="148"/>
      <c r="V23" s="148"/>
    </row>
    <row r="24" spans="2:22" ht="13.5" customHeight="1">
      <c r="E24" s="149"/>
      <c r="F24" s="149"/>
      <c r="G24" s="149"/>
      <c r="H24" s="149"/>
      <c r="I24" s="149"/>
      <c r="J24" s="149"/>
      <c r="K24" s="149"/>
      <c r="L24" s="149"/>
      <c r="M24" s="149"/>
      <c r="N24" s="149"/>
      <c r="O24" s="149"/>
      <c r="P24" s="149"/>
      <c r="Q24" s="149"/>
      <c r="T24" s="148"/>
      <c r="U24" s="148"/>
      <c r="V24" s="148"/>
    </row>
    <row r="25" spans="2:22" ht="13.5" customHeight="1">
      <c r="E25" s="149"/>
      <c r="F25" s="149"/>
      <c r="G25" s="149"/>
      <c r="H25" s="149"/>
      <c r="I25" s="149"/>
      <c r="J25" s="149"/>
      <c r="K25" s="149"/>
      <c r="L25" s="149"/>
      <c r="M25" s="149"/>
      <c r="N25" s="149"/>
      <c r="O25" s="149"/>
      <c r="P25" s="149"/>
      <c r="Q25" s="149"/>
      <c r="T25" s="148"/>
      <c r="U25" s="148"/>
      <c r="V25" s="148"/>
    </row>
    <row r="26" spans="2:22" ht="13.5" customHeight="1">
      <c r="E26" s="149"/>
      <c r="F26" s="149"/>
      <c r="G26" s="149"/>
      <c r="H26" s="149"/>
      <c r="I26" s="149"/>
      <c r="J26" s="149"/>
      <c r="K26" s="149"/>
      <c r="L26" s="149"/>
      <c r="M26" s="149"/>
      <c r="N26" s="149"/>
      <c r="O26" s="149"/>
      <c r="P26" s="149"/>
      <c r="Q26" s="149"/>
      <c r="T26" s="148"/>
      <c r="U26" s="148"/>
      <c r="V26" s="148"/>
    </row>
    <row r="27" spans="2:22" ht="13.5" customHeight="1">
      <c r="E27" s="149"/>
      <c r="F27" s="149"/>
      <c r="G27" s="149"/>
      <c r="H27" s="149"/>
      <c r="I27" s="149"/>
      <c r="J27" s="149"/>
      <c r="K27" s="149"/>
      <c r="L27" s="149"/>
      <c r="M27" s="149"/>
      <c r="N27" s="149"/>
      <c r="O27" s="149"/>
      <c r="P27" s="149"/>
      <c r="Q27" s="149"/>
      <c r="T27" s="148"/>
      <c r="U27" s="148"/>
      <c r="V27" s="148"/>
    </row>
    <row r="28" spans="2:22" ht="13.5" customHeight="1">
      <c r="E28" s="149"/>
      <c r="F28" s="149"/>
      <c r="G28" s="149"/>
      <c r="H28" s="149"/>
      <c r="I28" s="149"/>
      <c r="J28" s="149"/>
      <c r="K28" s="149"/>
      <c r="L28" s="149"/>
      <c r="M28" s="149"/>
      <c r="N28" s="149"/>
      <c r="O28" s="149"/>
      <c r="P28" s="149"/>
      <c r="Q28" s="149"/>
      <c r="T28" s="148"/>
      <c r="U28" s="148"/>
      <c r="V28" s="148"/>
    </row>
    <row r="29" spans="2:22" ht="13.5" customHeight="1">
      <c r="E29" s="149"/>
      <c r="F29" s="149"/>
      <c r="G29" s="149"/>
      <c r="H29" s="149"/>
      <c r="I29" s="149"/>
      <c r="J29" s="149"/>
      <c r="K29" s="149"/>
      <c r="L29" s="149"/>
      <c r="M29" s="149"/>
      <c r="N29" s="149"/>
      <c r="O29" s="149"/>
      <c r="P29" s="149"/>
      <c r="Q29" s="149"/>
      <c r="T29" s="148"/>
      <c r="U29" s="148"/>
      <c r="V29" s="148"/>
    </row>
    <row r="30" spans="2:22" ht="13.5" customHeight="1">
      <c r="E30" s="149"/>
      <c r="F30" s="149"/>
      <c r="G30" s="149"/>
      <c r="H30" s="149"/>
      <c r="I30" s="149"/>
      <c r="J30" s="149"/>
      <c r="K30" s="149"/>
      <c r="L30" s="149"/>
      <c r="M30" s="149"/>
      <c r="N30" s="149"/>
      <c r="O30" s="149"/>
      <c r="P30" s="149"/>
      <c r="Q30" s="149"/>
      <c r="T30" s="148"/>
      <c r="U30" s="148"/>
      <c r="V30" s="148"/>
    </row>
    <row r="31" spans="2:22" ht="13.5" customHeight="1">
      <c r="E31" s="149"/>
      <c r="F31" s="149"/>
      <c r="G31" s="149"/>
      <c r="H31" s="149"/>
      <c r="I31" s="149"/>
      <c r="J31" s="149"/>
      <c r="K31" s="149"/>
      <c r="L31" s="149"/>
      <c r="M31" s="149"/>
      <c r="N31" s="149"/>
      <c r="O31" s="149"/>
      <c r="P31" s="149"/>
      <c r="Q31" s="149"/>
      <c r="T31" s="148"/>
      <c r="U31" s="148"/>
      <c r="V31" s="148"/>
    </row>
    <row r="32" spans="2:22" ht="13.5" customHeight="1">
      <c r="E32" s="149"/>
      <c r="F32" s="149"/>
      <c r="G32" s="149"/>
      <c r="H32" s="149"/>
      <c r="I32" s="149"/>
      <c r="J32" s="149"/>
      <c r="K32" s="149"/>
      <c r="L32" s="149"/>
      <c r="M32" s="149"/>
      <c r="N32" s="149"/>
      <c r="O32" s="149"/>
      <c r="P32" s="149"/>
      <c r="Q32" s="149"/>
      <c r="T32" s="148"/>
      <c r="U32" s="148"/>
      <c r="V32" s="148"/>
    </row>
    <row r="33" spans="5:22" ht="13.5" customHeight="1">
      <c r="E33" s="149"/>
      <c r="F33" s="149"/>
      <c r="G33" s="149"/>
      <c r="H33" s="149"/>
      <c r="I33" s="149"/>
      <c r="J33" s="149"/>
      <c r="K33" s="149"/>
      <c r="L33" s="149"/>
      <c r="M33" s="149"/>
      <c r="N33" s="149"/>
      <c r="O33" s="149"/>
      <c r="P33" s="149"/>
      <c r="Q33" s="149"/>
      <c r="T33" s="148"/>
      <c r="U33" s="148"/>
      <c r="V33" s="148"/>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K17:N18"/>
    <mergeCell ref="O13:Q14"/>
    <mergeCell ref="E22:Q23"/>
    <mergeCell ref="T16:V33"/>
    <mergeCell ref="E24:Q33"/>
    <mergeCell ref="K19:N20"/>
    <mergeCell ref="O15:Q16"/>
    <mergeCell ref="K15:N16"/>
    <mergeCell ref="O17:Q18"/>
    <mergeCell ref="O19:Q20"/>
    <mergeCell ref="K13:N14"/>
    <mergeCell ref="E17:G18"/>
    <mergeCell ref="B9:C9"/>
    <mergeCell ref="K8:N9"/>
    <mergeCell ref="O8:Q9"/>
    <mergeCell ref="O11:Q12"/>
    <mergeCell ref="K11:N12"/>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7" zoomScale="70" zoomScaleNormal="70" workbookViewId="0"/>
  </sheetViews>
  <sheetFormatPr baseColWidth="10" defaultColWidth="11.42578125" defaultRowHeight="20.25"/>
  <cols>
    <col min="1" max="1" width="0" style="6" hidden="1" customWidth="1"/>
    <col min="2" max="2" width="17.7109375" style="55" customWidth="1"/>
    <col min="3" max="3" width="19.85546875" style="55" customWidth="1"/>
    <col min="4" max="6" width="9.140625" style="6" customWidth="1"/>
    <col min="7" max="8" width="12.140625" style="6" customWidth="1"/>
    <col min="9" max="9" width="9.140625" style="6" customWidth="1"/>
    <col min="10" max="11" width="12.140625" style="6" customWidth="1"/>
    <col min="12" max="12" width="9.140625" style="6" customWidth="1"/>
    <col min="13" max="13" width="12.140625" style="6" customWidth="1"/>
    <col min="14" max="14" width="15" style="6" customWidth="1"/>
    <col min="15" max="15" width="9.140625" style="6" customWidth="1"/>
    <col min="16" max="17" width="12.140625" style="6" customWidth="1"/>
    <col min="18" max="18" width="9.140625" style="57" customWidth="1"/>
    <col min="19" max="20" width="9.140625" style="6" customWidth="1"/>
    <col min="21" max="21" width="14.42578125" style="6" customWidth="1"/>
    <col min="22" max="22" width="3.7109375" style="6" customWidth="1"/>
    <col min="23" max="27" width="9.140625" style="6" customWidth="1"/>
    <col min="28" max="16384" width="11.42578125" style="6"/>
  </cols>
  <sheetData>
    <row r="2" spans="2:22">
      <c r="E2" s="131" t="s">
        <v>1</v>
      </c>
      <c r="F2" s="131"/>
      <c r="G2" s="131"/>
      <c r="H2" s="131"/>
      <c r="I2" s="131"/>
      <c r="J2" s="131"/>
      <c r="K2" s="131"/>
      <c r="L2" s="131"/>
      <c r="M2" s="131"/>
      <c r="N2" s="131"/>
      <c r="O2" s="131"/>
      <c r="P2" s="131"/>
      <c r="Q2" s="131"/>
      <c r="R2" s="131"/>
      <c r="S2" s="131"/>
      <c r="T2" s="131"/>
      <c r="U2" s="131"/>
      <c r="V2" s="131"/>
    </row>
    <row r="3" spans="2:22" ht="21" thickBot="1">
      <c r="E3" s="132"/>
      <c r="F3" s="132"/>
      <c r="G3" s="132"/>
      <c r="H3" s="132"/>
      <c r="I3" s="132"/>
      <c r="J3" s="132"/>
      <c r="K3" s="132"/>
      <c r="L3" s="132"/>
      <c r="M3" s="132"/>
      <c r="N3" s="132"/>
      <c r="O3" s="132"/>
      <c r="P3" s="132"/>
      <c r="Q3" s="132"/>
      <c r="R3" s="132"/>
      <c r="S3" s="132"/>
      <c r="T3" s="132"/>
      <c r="U3" s="132"/>
      <c r="V3" s="132"/>
    </row>
    <row r="5" spans="2:22" ht="15.75" customHeight="1">
      <c r="E5" s="158" t="s">
        <v>534</v>
      </c>
      <c r="F5" s="158"/>
      <c r="G5" s="158"/>
      <c r="H5" s="158"/>
      <c r="I5" s="158"/>
      <c r="J5" s="158"/>
      <c r="K5" s="158"/>
      <c r="L5" s="158"/>
      <c r="M5" s="158"/>
      <c r="N5" s="158"/>
      <c r="O5" s="158"/>
      <c r="P5" s="158"/>
      <c r="Q5" s="158"/>
      <c r="R5" s="73"/>
      <c r="S5" s="135" t="s">
        <v>621</v>
      </c>
      <c r="T5" s="135"/>
      <c r="U5" s="135"/>
      <c r="V5" s="45"/>
    </row>
    <row r="6" spans="2:22">
      <c r="B6" s="109" t="s">
        <v>616</v>
      </c>
      <c r="C6" s="109"/>
      <c r="E6" s="158"/>
      <c r="F6" s="158"/>
      <c r="G6" s="158"/>
      <c r="H6" s="158"/>
      <c r="I6" s="158"/>
      <c r="J6" s="158"/>
      <c r="K6" s="158"/>
      <c r="L6" s="158"/>
      <c r="M6" s="158"/>
      <c r="N6" s="158"/>
      <c r="O6" s="158"/>
      <c r="P6" s="158"/>
      <c r="Q6" s="158"/>
      <c r="R6" s="73"/>
      <c r="S6" s="135"/>
      <c r="T6" s="135"/>
      <c r="U6" s="135"/>
      <c r="V6" s="45"/>
    </row>
    <row r="7" spans="2:22">
      <c r="B7" s="109"/>
      <c r="C7" s="109"/>
      <c r="P7" s="7"/>
      <c r="Q7" s="8"/>
      <c r="R7" s="73"/>
      <c r="S7" s="135"/>
      <c r="T7" s="135"/>
      <c r="U7" s="135"/>
      <c r="V7" s="45"/>
    </row>
    <row r="8" spans="2:22">
      <c r="B8" s="109" t="s">
        <v>0</v>
      </c>
      <c r="C8" s="109"/>
      <c r="H8" s="9"/>
      <c r="I8" s="9"/>
      <c r="J8" s="9"/>
      <c r="K8" s="9"/>
      <c r="L8" s="9"/>
      <c r="M8" s="9"/>
      <c r="S8" s="135"/>
      <c r="T8" s="135"/>
      <c r="U8" s="135"/>
      <c r="V8" s="45"/>
    </row>
    <row r="9" spans="2:22" ht="20.25" customHeight="1">
      <c r="B9" s="109"/>
      <c r="C9" s="109"/>
      <c r="G9" s="155">
        <v>2</v>
      </c>
      <c r="H9" s="155"/>
      <c r="J9" s="155">
        <v>4</v>
      </c>
      <c r="K9" s="155"/>
      <c r="M9" s="155">
        <v>0</v>
      </c>
      <c r="N9" s="155"/>
      <c r="P9" s="155">
        <v>0</v>
      </c>
      <c r="Q9" s="155"/>
      <c r="S9" s="135"/>
      <c r="T9" s="135"/>
      <c r="U9" s="135"/>
      <c r="V9" s="45"/>
    </row>
    <row r="10" spans="2:22" ht="20.25" customHeight="1">
      <c r="B10" s="109" t="s">
        <v>1</v>
      </c>
      <c r="C10" s="109"/>
      <c r="G10" s="155"/>
      <c r="H10" s="155"/>
      <c r="J10" s="155"/>
      <c r="K10" s="155"/>
      <c r="M10" s="155"/>
      <c r="N10" s="155"/>
      <c r="P10" s="155"/>
      <c r="Q10" s="155"/>
      <c r="S10" s="135"/>
      <c r="T10" s="135"/>
      <c r="U10" s="135"/>
      <c r="V10" s="45"/>
    </row>
    <row r="11" spans="2:22" ht="20.25" customHeight="1">
      <c r="B11" s="109"/>
      <c r="C11" s="109"/>
      <c r="G11" s="155"/>
      <c r="H11" s="155"/>
      <c r="J11" s="155"/>
      <c r="K11" s="155"/>
      <c r="M11" s="155"/>
      <c r="N11" s="155"/>
      <c r="P11" s="155"/>
      <c r="Q11" s="155"/>
      <c r="S11" s="135"/>
      <c r="T11" s="135"/>
      <c r="U11" s="135"/>
      <c r="V11" s="45"/>
    </row>
    <row r="12" spans="2:22" ht="20.25" customHeight="1">
      <c r="B12" s="109" t="s">
        <v>617</v>
      </c>
      <c r="C12" s="109"/>
      <c r="G12" s="152" t="s">
        <v>542</v>
      </c>
      <c r="H12" s="152"/>
      <c r="J12" s="152" t="s">
        <v>543</v>
      </c>
      <c r="K12" s="152"/>
      <c r="M12" s="152" t="s">
        <v>544</v>
      </c>
      <c r="N12" s="152"/>
      <c r="P12" s="152" t="s">
        <v>545</v>
      </c>
      <c r="Q12" s="152"/>
      <c r="S12" s="110" t="s">
        <v>598</v>
      </c>
      <c r="T12" s="110"/>
      <c r="U12" s="110"/>
      <c r="V12" s="110"/>
    </row>
    <row r="13" spans="2:22" ht="20.25" customHeight="1">
      <c r="B13" s="109"/>
      <c r="C13" s="109"/>
      <c r="G13" s="152"/>
      <c r="H13" s="152"/>
      <c r="J13" s="152"/>
      <c r="K13" s="152"/>
      <c r="M13" s="152"/>
      <c r="N13" s="152"/>
      <c r="P13" s="152"/>
      <c r="Q13" s="152"/>
      <c r="S13" s="110"/>
      <c r="T13" s="110"/>
      <c r="U13" s="110"/>
      <c r="V13" s="110"/>
    </row>
    <row r="14" spans="2:22" ht="20.25" customHeight="1">
      <c r="B14" s="109" t="s">
        <v>2</v>
      </c>
      <c r="C14" s="109"/>
      <c r="G14" s="152"/>
      <c r="H14" s="152"/>
      <c r="J14" s="152"/>
      <c r="K14" s="152"/>
      <c r="M14" s="152"/>
      <c r="N14" s="152"/>
      <c r="P14" s="152"/>
      <c r="Q14" s="152"/>
      <c r="S14" s="154"/>
      <c r="T14" s="154"/>
      <c r="U14" s="154"/>
      <c r="V14" s="154"/>
    </row>
    <row r="15" spans="2:22">
      <c r="B15" s="109"/>
      <c r="C15" s="109"/>
      <c r="E15" s="89"/>
      <c r="F15" s="89"/>
      <c r="G15" s="89"/>
      <c r="H15" s="57">
        <f>+J9*25%</f>
        <v>1</v>
      </c>
      <c r="I15" s="57">
        <f>+INT(IF(J9&lt;10,J9,IF(H15&lt;10,10,H15)))</f>
        <v>4</v>
      </c>
      <c r="J15" s="89"/>
      <c r="K15" s="89"/>
      <c r="L15" s="89"/>
      <c r="M15" s="89"/>
      <c r="N15" s="89"/>
      <c r="O15" s="89"/>
      <c r="P15" s="89"/>
      <c r="Q15" s="89"/>
    </row>
    <row r="16" spans="2:22" ht="25.5" customHeight="1">
      <c r="B16" s="109" t="s">
        <v>3</v>
      </c>
      <c r="C16" s="109"/>
      <c r="E16" s="89"/>
      <c r="F16" s="89"/>
      <c r="G16" s="89"/>
      <c r="H16" s="89"/>
      <c r="I16" s="89"/>
      <c r="J16" s="89"/>
      <c r="K16" s="89"/>
      <c r="L16" s="89"/>
      <c r="M16" s="89"/>
      <c r="N16" s="89"/>
      <c r="O16" s="89"/>
      <c r="P16" s="89"/>
      <c r="Q16" s="89"/>
      <c r="S16" s="148" t="s">
        <v>642</v>
      </c>
      <c r="T16" s="148"/>
      <c r="U16" s="148"/>
      <c r="V16" s="148"/>
    </row>
    <row r="17" spans="2:22" ht="25.5" customHeight="1">
      <c r="B17" s="109"/>
      <c r="C17" s="109"/>
      <c r="E17" s="153" t="str">
        <f>"Seleccione una muestra de "&amp;I15&amp;" abogados activos y complete los siguientes datos:"</f>
        <v>Seleccione una muestra de 4 abogados activos y complete los siguientes datos:</v>
      </c>
      <c r="F17" s="153"/>
      <c r="G17" s="153"/>
      <c r="H17" s="153"/>
      <c r="I17" s="153"/>
      <c r="J17" s="153"/>
      <c r="K17" s="90"/>
      <c r="L17" s="153" t="s">
        <v>485</v>
      </c>
      <c r="M17" s="153"/>
      <c r="N17" s="153"/>
      <c r="O17" s="153"/>
      <c r="P17" s="153"/>
      <c r="Q17" s="153"/>
      <c r="S17" s="148"/>
      <c r="T17" s="148"/>
      <c r="U17" s="148"/>
      <c r="V17" s="148"/>
    </row>
    <row r="18" spans="2:22" ht="36" customHeight="1">
      <c r="B18" s="109" t="s">
        <v>538</v>
      </c>
      <c r="C18" s="109"/>
      <c r="E18" s="153"/>
      <c r="F18" s="153"/>
      <c r="G18" s="153"/>
      <c r="H18" s="153"/>
      <c r="I18" s="153"/>
      <c r="J18" s="153"/>
      <c r="K18" s="90"/>
      <c r="L18" s="153"/>
      <c r="M18" s="153"/>
      <c r="N18" s="153"/>
      <c r="O18" s="153"/>
      <c r="P18" s="153"/>
      <c r="Q18" s="153"/>
      <c r="S18" s="148"/>
      <c r="T18" s="148"/>
      <c r="U18" s="148"/>
      <c r="V18" s="148"/>
    </row>
    <row r="19" spans="2:22" ht="25.5" customHeight="1">
      <c r="B19" s="109"/>
      <c r="C19" s="109"/>
      <c r="E19" s="151" t="str">
        <f>"De la muestra de "&amp;I15&amp;", cuantos tienen el nombre correcto"</f>
        <v>De la muestra de 4, cuantos tienen el nombre correcto</v>
      </c>
      <c r="F19" s="151"/>
      <c r="G19" s="151"/>
      <c r="H19" s="151"/>
      <c r="I19" s="159">
        <v>2</v>
      </c>
      <c r="J19" s="160"/>
      <c r="K19" s="90"/>
      <c r="L19" s="151" t="s">
        <v>546</v>
      </c>
      <c r="M19" s="151"/>
      <c r="N19" s="151"/>
      <c r="O19" s="151"/>
      <c r="P19" s="159">
        <v>0</v>
      </c>
      <c r="Q19" s="160"/>
      <c r="S19" s="148"/>
      <c r="T19" s="148"/>
      <c r="U19" s="148"/>
      <c r="V19" s="148"/>
    </row>
    <row r="20" spans="2:22" ht="20.25" customHeight="1">
      <c r="B20" s="109" t="s">
        <v>431</v>
      </c>
      <c r="C20" s="109"/>
      <c r="E20" s="151"/>
      <c r="F20" s="151"/>
      <c r="G20" s="151"/>
      <c r="H20" s="151"/>
      <c r="I20" s="159"/>
      <c r="J20" s="160"/>
      <c r="K20" s="90"/>
      <c r="L20" s="151"/>
      <c r="M20" s="151"/>
      <c r="N20" s="151"/>
      <c r="O20" s="151"/>
      <c r="P20" s="159"/>
      <c r="Q20" s="160"/>
      <c r="R20" s="104">
        <f>+P19*1</f>
        <v>0</v>
      </c>
      <c r="S20" s="148"/>
      <c r="T20" s="148"/>
      <c r="U20" s="148"/>
      <c r="V20" s="148"/>
    </row>
    <row r="21" spans="2:22" ht="26.25" customHeight="1">
      <c r="B21" s="109"/>
      <c r="C21" s="109"/>
      <c r="E21" s="150" t="str">
        <f>"De la muestra de "&amp;I15&amp;", cuantos tienen el correo electrónico correcto"</f>
        <v>De la muestra de 4, cuantos tienen el correo electrónico correcto</v>
      </c>
      <c r="F21" s="150"/>
      <c r="G21" s="150"/>
      <c r="H21" s="150"/>
      <c r="I21" s="161">
        <v>1</v>
      </c>
      <c r="J21" s="162"/>
      <c r="K21" s="90"/>
      <c r="L21" s="150" t="s">
        <v>547</v>
      </c>
      <c r="M21" s="150"/>
      <c r="N21" s="150"/>
      <c r="O21" s="150"/>
      <c r="P21" s="161">
        <v>0</v>
      </c>
      <c r="Q21" s="162"/>
      <c r="R21" s="74"/>
      <c r="S21" s="148"/>
      <c r="T21" s="148"/>
      <c r="U21" s="148"/>
      <c r="V21" s="148"/>
    </row>
    <row r="22" spans="2:22" ht="42" customHeight="1">
      <c r="B22" s="109" t="s">
        <v>618</v>
      </c>
      <c r="C22" s="109"/>
      <c r="E22" s="150"/>
      <c r="F22" s="150"/>
      <c r="G22" s="150"/>
      <c r="H22" s="150"/>
      <c r="I22" s="161"/>
      <c r="J22" s="162"/>
      <c r="K22" s="90"/>
      <c r="L22" s="150"/>
      <c r="M22" s="150"/>
      <c r="N22" s="150"/>
      <c r="O22" s="150"/>
      <c r="P22" s="161"/>
      <c r="Q22" s="162"/>
      <c r="R22" s="104">
        <f>+P21*1</f>
        <v>0</v>
      </c>
      <c r="S22" s="148"/>
      <c r="T22" s="148"/>
      <c r="U22" s="148"/>
      <c r="V22" s="148"/>
    </row>
    <row r="23" spans="2:22" ht="20.25" customHeight="1">
      <c r="E23" s="151" t="str">
        <f>"De la muestra de "&amp;I15&amp;", cuantos tienen tipo de vinculación de planta"</f>
        <v>De la muestra de 4, cuantos tienen tipo de vinculación de planta</v>
      </c>
      <c r="F23" s="151"/>
      <c r="G23" s="151"/>
      <c r="H23" s="151"/>
      <c r="I23" s="159">
        <v>1</v>
      </c>
      <c r="J23" s="160"/>
      <c r="K23" s="90"/>
      <c r="L23" s="151" t="s">
        <v>486</v>
      </c>
      <c r="M23" s="151"/>
      <c r="N23" s="151"/>
      <c r="O23" s="151"/>
      <c r="P23" s="159">
        <v>2</v>
      </c>
      <c r="Q23" s="160"/>
      <c r="R23" s="74"/>
      <c r="S23" s="148"/>
      <c r="T23" s="148"/>
      <c r="U23" s="148"/>
      <c r="V23" s="148"/>
    </row>
    <row r="24" spans="2:22" ht="20.25" customHeight="1">
      <c r="E24" s="151"/>
      <c r="F24" s="151"/>
      <c r="G24" s="151"/>
      <c r="H24" s="151"/>
      <c r="I24" s="159"/>
      <c r="J24" s="160"/>
      <c r="K24" s="90"/>
      <c r="L24" s="151"/>
      <c r="M24" s="151"/>
      <c r="N24" s="151"/>
      <c r="O24" s="151"/>
      <c r="P24" s="159"/>
      <c r="Q24" s="160"/>
      <c r="R24" s="104">
        <f>IFERROR(LOOKUP(O25,[1]Administrador!$L$9:$L$11,[1]Administrador!$M$9:$M$11),0)</f>
        <v>0</v>
      </c>
      <c r="S24" s="148"/>
      <c r="T24" s="148"/>
      <c r="U24" s="148"/>
      <c r="V24" s="148"/>
    </row>
    <row r="25" spans="2:22" ht="37.5" customHeight="1">
      <c r="L25" s="63"/>
      <c r="M25" s="63"/>
      <c r="N25" s="63"/>
      <c r="O25" s="63"/>
      <c r="P25" s="64"/>
      <c r="Q25" s="64"/>
      <c r="R25" s="74"/>
      <c r="S25" s="148"/>
      <c r="T25" s="148"/>
      <c r="U25" s="148"/>
      <c r="V25" s="148"/>
    </row>
    <row r="26" spans="2:22" ht="32.25" customHeight="1">
      <c r="E26" s="147" t="s">
        <v>619</v>
      </c>
      <c r="F26" s="147"/>
      <c r="G26" s="147"/>
      <c r="H26" s="147"/>
      <c r="I26" s="147"/>
      <c r="J26" s="147"/>
      <c r="K26" s="147"/>
      <c r="L26" s="147"/>
      <c r="M26" s="147"/>
      <c r="N26" s="147"/>
      <c r="O26" s="147"/>
      <c r="P26" s="147"/>
      <c r="Q26" s="147"/>
      <c r="S26" s="148"/>
      <c r="T26" s="148"/>
      <c r="U26" s="148"/>
      <c r="V26" s="148"/>
    </row>
    <row r="27" spans="2:22">
      <c r="E27" s="156" t="s">
        <v>655</v>
      </c>
      <c r="F27" s="157"/>
      <c r="G27" s="157"/>
      <c r="H27" s="157"/>
      <c r="I27" s="157"/>
      <c r="J27" s="157"/>
      <c r="K27" s="157"/>
      <c r="L27" s="157"/>
      <c r="M27" s="157"/>
      <c r="N27" s="157"/>
      <c r="O27" s="157"/>
      <c r="P27" s="157"/>
      <c r="Q27" s="157"/>
      <c r="S27" s="148"/>
      <c r="T27" s="148"/>
      <c r="U27" s="148"/>
      <c r="V27" s="148"/>
    </row>
    <row r="28" spans="2:22">
      <c r="E28" s="157"/>
      <c r="F28" s="157"/>
      <c r="G28" s="157"/>
      <c r="H28" s="157"/>
      <c r="I28" s="157"/>
      <c r="J28" s="157"/>
      <c r="K28" s="157"/>
      <c r="L28" s="157"/>
      <c r="M28" s="157"/>
      <c r="N28" s="157"/>
      <c r="O28" s="157"/>
      <c r="P28" s="157"/>
      <c r="Q28" s="157"/>
      <c r="S28" s="148"/>
      <c r="T28" s="148"/>
      <c r="U28" s="148"/>
      <c r="V28" s="148"/>
    </row>
    <row r="29" spans="2:22">
      <c r="E29" s="157"/>
      <c r="F29" s="157"/>
      <c r="G29" s="157"/>
      <c r="H29" s="157"/>
      <c r="I29" s="157"/>
      <c r="J29" s="157"/>
      <c r="K29" s="157"/>
      <c r="L29" s="157"/>
      <c r="M29" s="157"/>
      <c r="N29" s="157"/>
      <c r="O29" s="157"/>
      <c r="P29" s="157"/>
      <c r="Q29" s="157"/>
      <c r="S29" s="148"/>
      <c r="T29" s="148"/>
      <c r="U29" s="148"/>
      <c r="V29" s="148"/>
    </row>
    <row r="30" spans="2:22">
      <c r="E30" s="157"/>
      <c r="F30" s="157"/>
      <c r="G30" s="157"/>
      <c r="H30" s="157"/>
      <c r="I30" s="157"/>
      <c r="J30" s="157"/>
      <c r="K30" s="157"/>
      <c r="L30" s="157"/>
      <c r="M30" s="157"/>
      <c r="N30" s="157"/>
      <c r="O30" s="157"/>
      <c r="P30" s="157"/>
      <c r="Q30" s="157"/>
      <c r="S30" s="148"/>
      <c r="T30" s="148"/>
      <c r="U30" s="148"/>
      <c r="V30" s="148"/>
    </row>
    <row r="31" spans="2:22">
      <c r="E31" s="157"/>
      <c r="F31" s="157"/>
      <c r="G31" s="157"/>
      <c r="H31" s="157"/>
      <c r="I31" s="157"/>
      <c r="J31" s="157"/>
      <c r="K31" s="157"/>
      <c r="L31" s="157"/>
      <c r="M31" s="157"/>
      <c r="N31" s="157"/>
      <c r="O31" s="157"/>
      <c r="P31" s="157"/>
      <c r="Q31" s="157"/>
      <c r="S31" s="148"/>
      <c r="T31" s="148"/>
      <c r="U31" s="148"/>
      <c r="V31" s="148"/>
    </row>
    <row r="32" spans="2:22">
      <c r="E32" s="157"/>
      <c r="F32" s="157"/>
      <c r="G32" s="157"/>
      <c r="H32" s="157"/>
      <c r="I32" s="157"/>
      <c r="J32" s="157"/>
      <c r="K32" s="157"/>
      <c r="L32" s="157"/>
      <c r="M32" s="157"/>
      <c r="N32" s="157"/>
      <c r="O32" s="157"/>
      <c r="P32" s="157"/>
      <c r="Q32" s="157"/>
      <c r="S32" s="148"/>
      <c r="T32" s="148"/>
      <c r="U32" s="148"/>
      <c r="V32" s="148"/>
    </row>
    <row r="33" spans="5:22">
      <c r="E33" s="157"/>
      <c r="F33" s="157"/>
      <c r="G33" s="157"/>
      <c r="H33" s="157"/>
      <c r="I33" s="157"/>
      <c r="J33" s="157"/>
      <c r="K33" s="157"/>
      <c r="L33" s="157"/>
      <c r="M33" s="157"/>
      <c r="N33" s="157"/>
      <c r="O33" s="157"/>
      <c r="P33" s="157"/>
      <c r="Q33" s="157"/>
      <c r="S33" s="148"/>
      <c r="T33" s="148"/>
      <c r="U33" s="148"/>
      <c r="V33" s="148"/>
    </row>
  </sheetData>
  <sheetProtection algorithmName="SHA-512" hashValue="X9ptMgRSxABArVZSFnQdYyIgypVocbzONnC2RF8grVcS5QnYB4oIHfgIqHp1uHXk98HvpXI2J2Ao0mAqeLle2A==" saltValue="oRQJCiCrL+ts0Gi4w1jpgQ==" spinCount="100000" sheet="1" objects="1" scenarios="1"/>
  <mergeCells count="47">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 ref="E2:V3"/>
    <mergeCell ref="S14:V14"/>
    <mergeCell ref="S12:V13"/>
    <mergeCell ref="J9:K11"/>
    <mergeCell ref="J12:K14"/>
    <mergeCell ref="M9:N11"/>
    <mergeCell ref="M12:N14"/>
    <mergeCell ref="P9:Q11"/>
    <mergeCell ref="P12:Q14"/>
    <mergeCell ref="B16:C16"/>
    <mergeCell ref="B18:C18"/>
    <mergeCell ref="G12:H14"/>
    <mergeCell ref="E17:J18"/>
    <mergeCell ref="E19:H20"/>
    <mergeCell ref="B12:C12"/>
    <mergeCell ref="B14:C14"/>
    <mergeCell ref="B13:C13"/>
    <mergeCell ref="B15:C15"/>
    <mergeCell ref="B17:C17"/>
    <mergeCell ref="B19:C19"/>
    <mergeCell ref="B6:C6"/>
    <mergeCell ref="B8:C8"/>
    <mergeCell ref="B10:C10"/>
    <mergeCell ref="B11:C11"/>
    <mergeCell ref="B7:C7"/>
    <mergeCell ref="B9:C9"/>
    <mergeCell ref="E21:H22"/>
    <mergeCell ref="E23:H24"/>
    <mergeCell ref="B21:C21"/>
    <mergeCell ref="B22:C22"/>
    <mergeCell ref="B20:C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2" zoomScale="70" zoomScaleNormal="70" workbookViewId="0">
      <selection activeCell="E23" sqref="E23:R26"/>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14.140625" style="6" customWidth="1"/>
    <col min="10" max="14" width="9.140625" style="6" customWidth="1"/>
    <col min="15" max="15" width="15.7109375" style="6" customWidth="1"/>
    <col min="16" max="16" width="23.28515625" style="6" customWidth="1"/>
    <col min="17" max="18" width="9.140625" style="6" customWidth="1"/>
    <col min="19" max="19" width="6.5703125" style="6" customWidth="1"/>
    <col min="20" max="21" width="9.140625" style="6" customWidth="1"/>
    <col min="22" max="22" width="16.140625" style="6" customWidth="1"/>
    <col min="23" max="38" width="9.140625" style="6" customWidth="1"/>
    <col min="39" max="16384" width="11.42578125" style="6"/>
  </cols>
  <sheetData>
    <row r="2" spans="2:22" ht="29.25" customHeight="1">
      <c r="E2" s="131" t="s">
        <v>549</v>
      </c>
      <c r="F2" s="131"/>
      <c r="G2" s="131"/>
      <c r="H2" s="131"/>
      <c r="I2" s="131"/>
      <c r="J2" s="131"/>
      <c r="K2" s="131"/>
      <c r="L2" s="131"/>
      <c r="M2" s="131"/>
      <c r="N2" s="131"/>
      <c r="O2" s="131"/>
      <c r="P2" s="131"/>
      <c r="Q2" s="131"/>
      <c r="R2" s="131"/>
      <c r="S2" s="131"/>
      <c r="T2" s="131"/>
      <c r="U2" s="131"/>
      <c r="V2" s="131"/>
    </row>
    <row r="3" spans="2:22" ht="20.25" customHeight="1" thickBot="1">
      <c r="E3" s="132"/>
      <c r="F3" s="132"/>
      <c r="G3" s="132"/>
      <c r="H3" s="132"/>
      <c r="I3" s="132"/>
      <c r="J3" s="132"/>
      <c r="K3" s="132"/>
      <c r="L3" s="132"/>
      <c r="M3" s="132"/>
      <c r="N3" s="132"/>
      <c r="O3" s="132"/>
      <c r="P3" s="132"/>
      <c r="Q3" s="132"/>
      <c r="R3" s="132"/>
      <c r="S3" s="132"/>
      <c r="T3" s="132"/>
      <c r="U3" s="132"/>
      <c r="V3" s="132"/>
    </row>
    <row r="4" spans="2:22" ht="6" customHeight="1">
      <c r="E4" s="131"/>
      <c r="F4" s="131"/>
      <c r="G4" s="131"/>
      <c r="H4" s="131"/>
      <c r="I4" s="131"/>
      <c r="J4" s="131"/>
      <c r="K4" s="131"/>
      <c r="L4" s="131"/>
      <c r="M4" s="131"/>
      <c r="N4" s="131"/>
      <c r="O4" s="131"/>
      <c r="P4" s="131"/>
      <c r="Q4" s="131"/>
      <c r="R4" s="131"/>
      <c r="S4" s="131"/>
      <c r="T4" s="131"/>
      <c r="U4" s="131"/>
      <c r="V4" s="131"/>
    </row>
    <row r="6" spans="2:22" ht="14.25" customHeight="1">
      <c r="B6" s="109" t="s">
        <v>616</v>
      </c>
      <c r="C6" s="109"/>
      <c r="E6" s="158" t="s">
        <v>550</v>
      </c>
      <c r="F6" s="158"/>
      <c r="G6" s="158"/>
      <c r="H6" s="158"/>
      <c r="I6" s="158"/>
      <c r="J6" s="158"/>
      <c r="K6" s="158"/>
      <c r="L6" s="158"/>
      <c r="M6" s="158"/>
      <c r="N6" s="158"/>
      <c r="O6" s="158"/>
      <c r="P6" s="158"/>
      <c r="Q6" s="158"/>
      <c r="R6" s="158"/>
      <c r="T6" s="135" t="s">
        <v>622</v>
      </c>
      <c r="U6" s="135"/>
      <c r="V6" s="135"/>
    </row>
    <row r="7" spans="2:22">
      <c r="B7" s="109"/>
      <c r="C7" s="109"/>
      <c r="E7" s="158"/>
      <c r="F7" s="158"/>
      <c r="G7" s="158"/>
      <c r="H7" s="158"/>
      <c r="I7" s="158"/>
      <c r="J7" s="158"/>
      <c r="K7" s="158"/>
      <c r="L7" s="158"/>
      <c r="M7" s="158"/>
      <c r="N7" s="158"/>
      <c r="O7" s="158"/>
      <c r="P7" s="158"/>
      <c r="Q7" s="158"/>
      <c r="R7" s="158"/>
      <c r="T7" s="135"/>
      <c r="U7" s="135"/>
      <c r="V7" s="135"/>
    </row>
    <row r="8" spans="2:22" ht="14.65" customHeight="1">
      <c r="B8" s="109" t="s">
        <v>0</v>
      </c>
      <c r="C8" s="109"/>
      <c r="P8" s="16"/>
      <c r="Q8" s="16"/>
      <c r="R8" s="16"/>
      <c r="T8" s="135"/>
      <c r="U8" s="135"/>
      <c r="V8" s="135"/>
    </row>
    <row r="9" spans="2:22" ht="19.5" customHeight="1">
      <c r="B9" s="109"/>
      <c r="C9" s="109"/>
      <c r="T9" s="135"/>
      <c r="U9" s="135"/>
      <c r="V9" s="135"/>
    </row>
    <row r="10" spans="2:22" ht="26.25" customHeight="1">
      <c r="B10" s="109" t="s">
        <v>1</v>
      </c>
      <c r="C10" s="109"/>
      <c r="G10" s="166"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6"/>
      <c r="I10" s="166"/>
      <c r="J10" s="166"/>
      <c r="K10" s="166"/>
      <c r="L10" s="166"/>
      <c r="M10" s="166"/>
      <c r="N10" s="166"/>
      <c r="O10" s="167"/>
      <c r="P10" s="165">
        <v>10</v>
      </c>
      <c r="T10" s="135"/>
      <c r="U10" s="135"/>
      <c r="V10" s="135"/>
    </row>
    <row r="11" spans="2:22" ht="26.25" customHeight="1">
      <c r="B11" s="109"/>
      <c r="C11" s="109"/>
      <c r="G11" s="166"/>
      <c r="H11" s="166"/>
      <c r="I11" s="166"/>
      <c r="J11" s="166"/>
      <c r="K11" s="166"/>
      <c r="L11" s="166"/>
      <c r="M11" s="166"/>
      <c r="N11" s="166"/>
      <c r="O11" s="167"/>
      <c r="P11" s="165"/>
      <c r="T11" s="135"/>
      <c r="U11" s="135"/>
      <c r="V11" s="135"/>
    </row>
    <row r="12" spans="2:22" ht="28.5" customHeight="1">
      <c r="B12" s="109" t="s">
        <v>617</v>
      </c>
      <c r="C12" s="109"/>
      <c r="G12" s="44"/>
      <c r="H12" s="44"/>
      <c r="I12" s="44"/>
      <c r="J12" s="44"/>
      <c r="K12" s="44"/>
      <c r="L12" s="44"/>
      <c r="M12" s="44"/>
      <c r="N12" s="44"/>
      <c r="O12" s="44"/>
      <c r="P12" s="75"/>
      <c r="T12" s="135"/>
      <c r="U12" s="135"/>
      <c r="V12" s="135"/>
    </row>
    <row r="13" spans="2:22" ht="37.5" customHeight="1">
      <c r="B13" s="109"/>
      <c r="C13" s="109"/>
      <c r="G13" s="163" t="s">
        <v>643</v>
      </c>
      <c r="H13" s="163"/>
      <c r="I13" s="163"/>
      <c r="J13" s="163"/>
      <c r="K13" s="163"/>
      <c r="L13" s="163"/>
      <c r="M13" s="163"/>
      <c r="N13" s="163"/>
      <c r="O13" s="164"/>
      <c r="P13" s="165">
        <v>10</v>
      </c>
      <c r="T13" s="135"/>
      <c r="U13" s="135"/>
      <c r="V13" s="135"/>
    </row>
    <row r="14" spans="2:22" ht="30" customHeight="1">
      <c r="B14" s="109" t="s">
        <v>2</v>
      </c>
      <c r="C14" s="109"/>
      <c r="G14" s="163"/>
      <c r="H14" s="163"/>
      <c r="I14" s="163"/>
      <c r="J14" s="163"/>
      <c r="K14" s="163"/>
      <c r="L14" s="163"/>
      <c r="M14" s="163"/>
      <c r="N14" s="163"/>
      <c r="O14" s="164"/>
      <c r="P14" s="165"/>
      <c r="T14" s="110" t="s">
        <v>598</v>
      </c>
      <c r="U14" s="110"/>
      <c r="V14" s="110"/>
    </row>
    <row r="15" spans="2:22" ht="42" customHeight="1">
      <c r="B15" s="109"/>
      <c r="C15" s="109"/>
      <c r="P15" s="75"/>
      <c r="T15" s="110"/>
      <c r="U15" s="110"/>
      <c r="V15" s="110"/>
    </row>
    <row r="16" spans="2:22" ht="35.25" customHeight="1">
      <c r="B16" s="109" t="s">
        <v>3</v>
      </c>
      <c r="C16" s="109"/>
      <c r="G16" s="166" t="s">
        <v>644</v>
      </c>
      <c r="H16" s="166"/>
      <c r="I16" s="166"/>
      <c r="J16" s="166"/>
      <c r="K16" s="166"/>
      <c r="L16" s="166"/>
      <c r="M16" s="166"/>
      <c r="N16" s="166"/>
      <c r="O16" s="167"/>
      <c r="P16" s="165">
        <v>2</v>
      </c>
      <c r="T16" s="17"/>
      <c r="U16" s="17"/>
      <c r="V16" s="17"/>
    </row>
    <row r="17" spans="2:22" ht="30.75" customHeight="1">
      <c r="B17" s="109"/>
      <c r="C17" s="109"/>
      <c r="G17" s="166"/>
      <c r="H17" s="166"/>
      <c r="I17" s="166"/>
      <c r="J17" s="166"/>
      <c r="K17" s="166"/>
      <c r="L17" s="166"/>
      <c r="M17" s="166"/>
      <c r="N17" s="166"/>
      <c r="O17" s="167"/>
      <c r="P17" s="165"/>
    </row>
    <row r="18" spans="2:22" ht="54" customHeight="1">
      <c r="B18" s="109" t="s">
        <v>538</v>
      </c>
      <c r="C18" s="109"/>
      <c r="G18" s="44"/>
      <c r="H18" s="44"/>
      <c r="I18" s="44"/>
      <c r="J18" s="44"/>
      <c r="K18" s="44"/>
      <c r="L18" s="44"/>
      <c r="M18" s="44"/>
      <c r="N18" s="44"/>
      <c r="O18" s="44"/>
      <c r="P18" s="75"/>
      <c r="S18" s="18"/>
      <c r="T18" s="148" t="s">
        <v>646</v>
      </c>
      <c r="U18" s="148"/>
      <c r="V18" s="148"/>
    </row>
    <row r="19" spans="2:22" ht="26.45" customHeight="1">
      <c r="B19" s="109"/>
      <c r="C19" s="109"/>
      <c r="G19" s="163" t="s">
        <v>645</v>
      </c>
      <c r="H19" s="163"/>
      <c r="I19" s="163"/>
      <c r="J19" s="163"/>
      <c r="K19" s="163"/>
      <c r="L19" s="163"/>
      <c r="M19" s="163"/>
      <c r="N19" s="163"/>
      <c r="O19" s="164"/>
      <c r="P19" s="168">
        <f>+P13-P16</f>
        <v>8</v>
      </c>
      <c r="T19" s="148"/>
      <c r="U19" s="148"/>
      <c r="V19" s="148"/>
    </row>
    <row r="20" spans="2:22" ht="27" customHeight="1">
      <c r="B20" s="109" t="s">
        <v>431</v>
      </c>
      <c r="C20" s="109"/>
      <c r="G20" s="163"/>
      <c r="H20" s="163"/>
      <c r="I20" s="163"/>
      <c r="J20" s="163"/>
      <c r="K20" s="163"/>
      <c r="L20" s="163"/>
      <c r="M20" s="163"/>
      <c r="N20" s="163"/>
      <c r="O20" s="164"/>
      <c r="P20" s="168"/>
      <c r="T20" s="148"/>
      <c r="U20" s="148"/>
      <c r="V20" s="148"/>
    </row>
    <row r="21" spans="2:22" ht="42" customHeight="1">
      <c r="B21" s="109"/>
      <c r="C21" s="109"/>
      <c r="T21" s="148"/>
      <c r="U21" s="148"/>
      <c r="V21" s="148"/>
    </row>
    <row r="22" spans="2:22" ht="42" customHeight="1">
      <c r="B22" s="109" t="s">
        <v>618</v>
      </c>
      <c r="C22" s="109"/>
      <c r="E22" s="147" t="s">
        <v>619</v>
      </c>
      <c r="F22" s="147"/>
      <c r="G22" s="147"/>
      <c r="H22" s="147"/>
      <c r="I22" s="147"/>
      <c r="J22" s="147"/>
      <c r="K22" s="147"/>
      <c r="L22" s="147"/>
      <c r="M22" s="147"/>
      <c r="N22" s="147"/>
      <c r="O22" s="147"/>
      <c r="P22" s="147"/>
      <c r="Q22" s="147"/>
      <c r="R22" s="147"/>
      <c r="T22" s="148"/>
      <c r="U22" s="148"/>
      <c r="V22" s="148"/>
    </row>
    <row r="23" spans="2:22" ht="28.5" customHeight="1">
      <c r="E23" s="156" t="s">
        <v>656</v>
      </c>
      <c r="F23" s="156"/>
      <c r="G23" s="156"/>
      <c r="H23" s="156"/>
      <c r="I23" s="156"/>
      <c r="J23" s="156"/>
      <c r="K23" s="156"/>
      <c r="L23" s="156"/>
      <c r="M23" s="156"/>
      <c r="N23" s="156"/>
      <c r="O23" s="156"/>
      <c r="P23" s="156"/>
      <c r="Q23" s="156"/>
      <c r="R23" s="156"/>
      <c r="T23" s="148"/>
      <c r="U23" s="148"/>
      <c r="V23" s="148"/>
    </row>
    <row r="24" spans="2:22" ht="28.5" customHeight="1">
      <c r="E24" s="156"/>
      <c r="F24" s="156"/>
      <c r="G24" s="156"/>
      <c r="H24" s="156"/>
      <c r="I24" s="156"/>
      <c r="J24" s="156"/>
      <c r="K24" s="156"/>
      <c r="L24" s="156"/>
      <c r="M24" s="156"/>
      <c r="N24" s="156"/>
      <c r="O24" s="156"/>
      <c r="P24" s="156"/>
      <c r="Q24" s="156"/>
      <c r="R24" s="156"/>
      <c r="T24" s="148"/>
      <c r="U24" s="148"/>
      <c r="V24" s="148"/>
    </row>
    <row r="25" spans="2:22" ht="28.5" customHeight="1">
      <c r="E25" s="156"/>
      <c r="F25" s="156"/>
      <c r="G25" s="156"/>
      <c r="H25" s="156"/>
      <c r="I25" s="156"/>
      <c r="J25" s="156"/>
      <c r="K25" s="156"/>
      <c r="L25" s="156"/>
      <c r="M25" s="156"/>
      <c r="N25" s="156"/>
      <c r="O25" s="156"/>
      <c r="P25" s="156"/>
      <c r="Q25" s="156"/>
      <c r="R25" s="156"/>
      <c r="T25" s="148"/>
      <c r="U25" s="148"/>
      <c r="V25" s="148"/>
    </row>
    <row r="26" spans="2:22" ht="22.5" customHeight="1">
      <c r="E26" s="156"/>
      <c r="F26" s="156"/>
      <c r="G26" s="156"/>
      <c r="H26" s="156"/>
      <c r="I26" s="156"/>
      <c r="J26" s="156"/>
      <c r="K26" s="156"/>
      <c r="L26" s="156"/>
      <c r="M26" s="156"/>
      <c r="N26" s="156"/>
      <c r="O26" s="156"/>
      <c r="P26" s="156"/>
      <c r="Q26" s="156"/>
      <c r="R26" s="156"/>
      <c r="T26" s="148"/>
      <c r="U26" s="148"/>
      <c r="V26" s="148"/>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 ref="E2:V3"/>
    <mergeCell ref="E4:V4"/>
    <mergeCell ref="T6:V13"/>
    <mergeCell ref="P10:P11"/>
    <mergeCell ref="E6:R7"/>
    <mergeCell ref="G10:O11"/>
    <mergeCell ref="B6:C6"/>
    <mergeCell ref="B8:C8"/>
    <mergeCell ref="B10:C10"/>
    <mergeCell ref="G13:O14"/>
    <mergeCell ref="P13:P14"/>
    <mergeCell ref="B21:C21"/>
    <mergeCell ref="B18:C18"/>
    <mergeCell ref="B19:C19"/>
    <mergeCell ref="B20:C20"/>
    <mergeCell ref="B16:C16"/>
    <mergeCell ref="B17:C17"/>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4" zoomScale="55" zoomScaleNormal="55" workbookViewId="0">
      <selection activeCell="AG43" sqref="AG43"/>
      <extLst>
        <ext xmlns:xlsdti="http://schemas.microsoft.com/office/spreadsheetml/2023/showDataTypeIcons" uri="{77bfe23e-c014-4d31-8a63-9c772dbf06b6}">
          <xlsdti:showDataTypeIcons visible="0"/>
        </ext>
      </extLst>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5.140625" style="6" customWidth="1"/>
    <col min="12" max="12" width="17.42578125" style="6" customWidth="1"/>
    <col min="13" max="18" width="9.140625" style="6" customWidth="1"/>
    <col min="19" max="19" width="17.42578125" style="6" customWidth="1"/>
    <col min="20" max="20" width="15.42578125" style="6" customWidth="1"/>
    <col min="21" max="21" width="17.85546875" style="6" customWidth="1"/>
    <col min="22" max="22" width="5.42578125" style="6" customWidth="1"/>
    <col min="23" max="24" width="9.140625" style="6" customWidth="1"/>
    <col min="25" max="25" width="15.28515625" style="6" customWidth="1"/>
    <col min="26" max="55" width="9.140625" style="6" customWidth="1"/>
    <col min="56" max="16384" width="11.42578125" style="6"/>
  </cols>
  <sheetData>
    <row r="3" spans="1:25" ht="15" customHeight="1">
      <c r="E3" s="131" t="s">
        <v>2</v>
      </c>
      <c r="F3" s="131"/>
      <c r="G3" s="131"/>
      <c r="H3" s="131"/>
      <c r="I3" s="131"/>
      <c r="J3" s="131"/>
      <c r="K3" s="131"/>
      <c r="L3" s="131"/>
      <c r="M3" s="131"/>
      <c r="N3" s="131"/>
      <c r="O3" s="131"/>
      <c r="P3" s="131"/>
      <c r="Q3" s="131"/>
      <c r="R3" s="131"/>
      <c r="S3" s="131"/>
      <c r="T3" s="131"/>
      <c r="U3" s="131"/>
      <c r="V3" s="131"/>
      <c r="W3" s="131"/>
      <c r="X3" s="131"/>
      <c r="Y3" s="131"/>
    </row>
    <row r="4" spans="1:25" ht="15.75" customHeight="1" thickBot="1">
      <c r="E4" s="132"/>
      <c r="F4" s="132"/>
      <c r="G4" s="132"/>
      <c r="H4" s="132"/>
      <c r="I4" s="132"/>
      <c r="J4" s="132"/>
      <c r="K4" s="132"/>
      <c r="L4" s="132"/>
      <c r="M4" s="132"/>
      <c r="N4" s="132"/>
      <c r="O4" s="132"/>
      <c r="P4" s="132"/>
      <c r="Q4" s="132"/>
      <c r="R4" s="132"/>
      <c r="S4" s="132"/>
      <c r="T4" s="132"/>
      <c r="U4" s="132"/>
      <c r="V4" s="132"/>
      <c r="W4" s="132"/>
      <c r="X4" s="132"/>
      <c r="Y4" s="132"/>
    </row>
    <row r="6" spans="1:25" ht="19.5" customHeight="1">
      <c r="A6" s="19"/>
      <c r="B6" s="109" t="s">
        <v>616</v>
      </c>
      <c r="C6" s="109"/>
      <c r="E6" s="158" t="s">
        <v>528</v>
      </c>
      <c r="F6" s="158"/>
      <c r="G6" s="158"/>
      <c r="H6" s="158"/>
      <c r="I6" s="158"/>
      <c r="J6" s="158"/>
      <c r="K6" s="158"/>
      <c r="L6" s="158"/>
      <c r="M6" s="158"/>
      <c r="N6" s="158"/>
      <c r="O6" s="158"/>
      <c r="P6" s="158"/>
      <c r="Q6" s="158"/>
      <c r="R6" s="158"/>
      <c r="S6" s="158"/>
      <c r="T6" s="158"/>
      <c r="U6" s="158"/>
      <c r="V6" s="16"/>
      <c r="W6" s="135" t="s">
        <v>623</v>
      </c>
      <c r="X6" s="135"/>
      <c r="Y6" s="135"/>
    </row>
    <row r="7" spans="1:25">
      <c r="B7" s="109"/>
      <c r="C7" s="109"/>
      <c r="E7" s="158"/>
      <c r="F7" s="158"/>
      <c r="G7" s="158"/>
      <c r="H7" s="158"/>
      <c r="I7" s="158"/>
      <c r="J7" s="158"/>
      <c r="K7" s="158"/>
      <c r="L7" s="158"/>
      <c r="M7" s="158"/>
      <c r="N7" s="158"/>
      <c r="O7" s="158"/>
      <c r="P7" s="158"/>
      <c r="Q7" s="158"/>
      <c r="R7" s="158"/>
      <c r="S7" s="158"/>
      <c r="T7" s="158"/>
      <c r="U7" s="158"/>
      <c r="V7" s="16"/>
      <c r="W7" s="135"/>
      <c r="X7" s="135"/>
      <c r="Y7" s="135"/>
    </row>
    <row r="8" spans="1:25">
      <c r="B8" s="109" t="s">
        <v>0</v>
      </c>
      <c r="C8" s="109"/>
      <c r="P8" s="7"/>
      <c r="Q8" s="20"/>
      <c r="R8" s="20"/>
      <c r="S8" s="21"/>
      <c r="T8" s="21"/>
      <c r="U8" s="21"/>
      <c r="V8" s="16"/>
      <c r="W8" s="135"/>
      <c r="X8" s="135"/>
      <c r="Y8" s="135"/>
    </row>
    <row r="9" spans="1:25">
      <c r="B9" s="109"/>
      <c r="C9" s="109"/>
      <c r="P9" s="7"/>
      <c r="Q9" s="20"/>
      <c r="R9" s="20"/>
      <c r="S9" s="20"/>
      <c r="T9" s="20"/>
      <c r="U9" s="20"/>
      <c r="V9" s="16"/>
      <c r="W9" s="135"/>
      <c r="X9" s="135"/>
      <c r="Y9" s="135"/>
    </row>
    <row r="10" spans="1:25" ht="20.25" customHeight="1">
      <c r="B10" s="109" t="s">
        <v>1</v>
      </c>
      <c r="C10" s="109"/>
      <c r="E10" s="133" t="str">
        <f>"Procesos activos al "&amp;Administrador!B5&amp;"DE "&amp;Administrador!B4</f>
        <v>Procesos activos al 30 DE JUNIO DE 2025</v>
      </c>
      <c r="F10" s="133"/>
      <c r="G10" s="133"/>
      <c r="H10" s="133"/>
      <c r="I10" s="133"/>
      <c r="J10" s="133"/>
      <c r="K10" s="133"/>
      <c r="L10" s="133" t="s">
        <v>468</v>
      </c>
      <c r="M10" s="70"/>
      <c r="N10" s="133" t="s">
        <v>629</v>
      </c>
      <c r="O10" s="133"/>
      <c r="P10" s="133"/>
      <c r="Q10" s="133"/>
      <c r="R10" s="133"/>
      <c r="S10" s="133"/>
      <c r="T10" s="133"/>
      <c r="U10" s="133" t="s">
        <v>468</v>
      </c>
      <c r="V10" s="16"/>
      <c r="W10" s="135"/>
      <c r="X10" s="135"/>
      <c r="Y10" s="135"/>
    </row>
    <row r="11" spans="1:25" ht="15" customHeight="1">
      <c r="B11" s="109"/>
      <c r="C11" s="109"/>
      <c r="E11" s="133"/>
      <c r="F11" s="133"/>
      <c r="G11" s="133"/>
      <c r="H11" s="133"/>
      <c r="I11" s="133"/>
      <c r="J11" s="133"/>
      <c r="K11" s="133"/>
      <c r="L11" s="133"/>
      <c r="M11" s="70"/>
      <c r="N11" s="133"/>
      <c r="O11" s="133"/>
      <c r="P11" s="133"/>
      <c r="Q11" s="133"/>
      <c r="R11" s="133"/>
      <c r="S11" s="133"/>
      <c r="T11" s="133"/>
      <c r="U11" s="133"/>
      <c r="V11" s="16"/>
      <c r="W11" s="135"/>
      <c r="X11" s="135"/>
      <c r="Y11" s="135"/>
    </row>
    <row r="12" spans="1:25" ht="19.5" customHeight="1">
      <c r="B12" s="109" t="s">
        <v>617</v>
      </c>
      <c r="C12" s="109"/>
      <c r="E12" s="192" t="s">
        <v>436</v>
      </c>
      <c r="F12" s="192"/>
      <c r="G12" s="192"/>
      <c r="H12" s="192"/>
      <c r="I12" s="192"/>
      <c r="J12" s="192"/>
      <c r="K12" s="196"/>
      <c r="L12" s="174">
        <v>46</v>
      </c>
      <c r="M12" s="68"/>
      <c r="N12" s="189" t="s">
        <v>442</v>
      </c>
      <c r="O12" s="189"/>
      <c r="P12" s="189"/>
      <c r="Q12" s="189"/>
      <c r="R12" s="189"/>
      <c r="S12" s="189"/>
      <c r="T12" s="190"/>
      <c r="U12" s="200">
        <v>0</v>
      </c>
      <c r="W12" s="135"/>
      <c r="X12" s="135"/>
      <c r="Y12" s="135"/>
    </row>
    <row r="13" spans="1:25" ht="19.5" customHeight="1">
      <c r="B13" s="109"/>
      <c r="C13" s="109"/>
      <c r="E13" s="192"/>
      <c r="F13" s="192"/>
      <c r="G13" s="192"/>
      <c r="H13" s="192"/>
      <c r="I13" s="192"/>
      <c r="J13" s="192"/>
      <c r="K13" s="196"/>
      <c r="L13" s="174"/>
      <c r="M13" s="68"/>
      <c r="N13" s="189"/>
      <c r="O13" s="189"/>
      <c r="P13" s="189"/>
      <c r="Q13" s="189"/>
      <c r="R13" s="189"/>
      <c r="S13" s="189"/>
      <c r="T13" s="190"/>
      <c r="U13" s="200"/>
      <c r="W13" s="135"/>
      <c r="X13" s="135"/>
      <c r="Y13" s="135"/>
    </row>
    <row r="14" spans="1:25" ht="19.5" customHeight="1">
      <c r="B14" s="109" t="s">
        <v>2</v>
      </c>
      <c r="C14" s="109"/>
      <c r="E14" s="183" t="s">
        <v>574</v>
      </c>
      <c r="F14" s="183"/>
      <c r="G14" s="183"/>
      <c r="H14" s="183"/>
      <c r="I14" s="183"/>
      <c r="J14" s="183"/>
      <c r="K14" s="191"/>
      <c r="L14" s="177">
        <v>46</v>
      </c>
      <c r="M14" s="198"/>
      <c r="N14" s="175" t="s">
        <v>572</v>
      </c>
      <c r="O14" s="175"/>
      <c r="P14" s="175"/>
      <c r="Q14" s="175"/>
      <c r="R14" s="175"/>
      <c r="S14" s="175"/>
      <c r="T14" s="176"/>
      <c r="U14" s="177">
        <v>0</v>
      </c>
      <c r="W14" s="110" t="s">
        <v>598</v>
      </c>
      <c r="X14" s="110"/>
      <c r="Y14" s="110"/>
    </row>
    <row r="15" spans="1:25" ht="19.5" customHeight="1">
      <c r="B15" s="109"/>
      <c r="C15" s="109"/>
      <c r="E15" s="183"/>
      <c r="F15" s="183"/>
      <c r="G15" s="183"/>
      <c r="H15" s="183"/>
      <c r="I15" s="183"/>
      <c r="J15" s="183"/>
      <c r="K15" s="191"/>
      <c r="L15" s="177"/>
      <c r="M15" s="198"/>
      <c r="N15" s="175"/>
      <c r="O15" s="175"/>
      <c r="P15" s="175"/>
      <c r="Q15" s="175"/>
      <c r="R15" s="175"/>
      <c r="S15" s="175"/>
      <c r="T15" s="176"/>
      <c r="U15" s="177"/>
      <c r="W15" s="110"/>
      <c r="X15" s="110"/>
      <c r="Y15" s="110"/>
    </row>
    <row r="16" spans="1:25" ht="19.5" customHeight="1">
      <c r="B16" s="109" t="s">
        <v>3</v>
      </c>
      <c r="C16" s="109"/>
      <c r="E16" s="192" t="s">
        <v>628</v>
      </c>
      <c r="F16" s="192"/>
      <c r="G16" s="192"/>
      <c r="H16" s="192"/>
      <c r="I16" s="192"/>
      <c r="J16" s="192"/>
      <c r="K16" s="196"/>
      <c r="L16" s="174">
        <v>0</v>
      </c>
      <c r="M16" s="68"/>
      <c r="N16" s="178" t="s">
        <v>630</v>
      </c>
      <c r="O16" s="178"/>
      <c r="P16" s="178"/>
      <c r="Q16" s="178"/>
      <c r="R16" s="178"/>
      <c r="S16" s="178"/>
      <c r="T16" s="179"/>
      <c r="U16" s="200">
        <v>0</v>
      </c>
      <c r="W16" s="17"/>
      <c r="X16" s="17"/>
      <c r="Y16" s="17"/>
    </row>
    <row r="17" spans="2:25" ht="19.5" customHeight="1">
      <c r="B17" s="109"/>
      <c r="C17" s="109"/>
      <c r="E17" s="192"/>
      <c r="F17" s="192"/>
      <c r="G17" s="192"/>
      <c r="H17" s="192"/>
      <c r="I17" s="192"/>
      <c r="J17" s="192"/>
      <c r="K17" s="196"/>
      <c r="L17" s="174"/>
      <c r="M17" s="68"/>
      <c r="N17" s="178"/>
      <c r="O17" s="178"/>
      <c r="P17" s="178"/>
      <c r="Q17" s="178"/>
      <c r="R17" s="178"/>
      <c r="S17" s="178"/>
      <c r="T17" s="179"/>
      <c r="U17" s="200"/>
    </row>
    <row r="18" spans="2:25" ht="18" customHeight="1">
      <c r="B18" s="109" t="s">
        <v>538</v>
      </c>
      <c r="C18" s="109"/>
      <c r="N18" s="22"/>
      <c r="O18" s="22"/>
      <c r="P18" s="22"/>
      <c r="Q18" s="22"/>
      <c r="R18" s="22"/>
      <c r="S18" s="22"/>
      <c r="T18" s="22"/>
      <c r="U18" s="23"/>
      <c r="W18" s="148" t="s">
        <v>632</v>
      </c>
      <c r="X18" s="148"/>
      <c r="Y18" s="148"/>
    </row>
    <row r="19" spans="2:25" ht="27.75" customHeight="1">
      <c r="B19" s="109"/>
      <c r="C19" s="109"/>
      <c r="E19" s="133" t="str">
        <f>+"Procesos terminados durante el "&amp;Administrador!B3&amp;" semestre de "&amp;Administrador!B4</f>
        <v>Procesos terminados durante el PRIMER semestre de 2025</v>
      </c>
      <c r="F19" s="133"/>
      <c r="G19" s="133"/>
      <c r="H19" s="133"/>
      <c r="I19" s="133"/>
      <c r="J19" s="133"/>
      <c r="K19" s="133"/>
      <c r="L19" s="133" t="s">
        <v>468</v>
      </c>
      <c r="M19" s="70"/>
      <c r="N19" s="133" t="s">
        <v>470</v>
      </c>
      <c r="O19" s="133"/>
      <c r="P19" s="133"/>
      <c r="Q19" s="133"/>
      <c r="R19" s="133"/>
      <c r="S19" s="133"/>
      <c r="T19" s="133"/>
      <c r="U19" s="133" t="s">
        <v>468</v>
      </c>
      <c r="W19" s="148"/>
      <c r="X19" s="148"/>
      <c r="Y19" s="148"/>
    </row>
    <row r="20" spans="2:25">
      <c r="B20" s="109" t="s">
        <v>431</v>
      </c>
      <c r="C20" s="109"/>
      <c r="E20" s="133"/>
      <c r="F20" s="133"/>
      <c r="G20" s="133"/>
      <c r="H20" s="133"/>
      <c r="I20" s="133"/>
      <c r="J20" s="133"/>
      <c r="K20" s="133"/>
      <c r="L20" s="133"/>
      <c r="M20" s="70"/>
      <c r="N20" s="133"/>
      <c r="O20" s="133"/>
      <c r="P20" s="133"/>
      <c r="Q20" s="133"/>
      <c r="R20" s="133"/>
      <c r="S20" s="133"/>
      <c r="T20" s="133"/>
      <c r="U20" s="133"/>
      <c r="W20" s="148"/>
      <c r="X20" s="148"/>
      <c r="Y20" s="148"/>
    </row>
    <row r="21" spans="2:25" ht="26.25" customHeight="1">
      <c r="B21" s="109"/>
      <c r="C21" s="109"/>
      <c r="E21" s="189" t="str">
        <f>"Cantidad de procesos terminados durante el "&amp;Administrador!B3&amp;" semestre de "&amp;Administrador!B4&amp;" según jurídica"</f>
        <v>Cantidad de procesos terminados durante el PRIMER semestre de 2025 según jurídica</v>
      </c>
      <c r="F21" s="189"/>
      <c r="G21" s="189"/>
      <c r="H21" s="189"/>
      <c r="I21" s="189"/>
      <c r="J21" s="189"/>
      <c r="K21" s="190"/>
      <c r="L21" s="174">
        <v>0</v>
      </c>
      <c r="M21" s="43"/>
      <c r="N21" s="189" t="str">
        <f>"Cantidad de procesos activos ekOGUI - Calidad demandado"</f>
        <v>Cantidad de procesos activos ekOGUI - Calidad demandado</v>
      </c>
      <c r="O21" s="189"/>
      <c r="P21" s="189"/>
      <c r="Q21" s="189"/>
      <c r="R21" s="189"/>
      <c r="S21" s="189"/>
      <c r="T21" s="190"/>
      <c r="U21" s="199">
        <v>46</v>
      </c>
      <c r="W21" s="148"/>
      <c r="X21" s="148"/>
      <c r="Y21" s="148"/>
    </row>
    <row r="22" spans="2:25" ht="37.5" customHeight="1">
      <c r="B22" s="109" t="s">
        <v>618</v>
      </c>
      <c r="C22" s="109"/>
      <c r="E22" s="189"/>
      <c r="F22" s="189"/>
      <c r="G22" s="189"/>
      <c r="H22" s="189"/>
      <c r="I22" s="189"/>
      <c r="J22" s="189"/>
      <c r="K22" s="190"/>
      <c r="L22" s="174"/>
      <c r="M22" s="197"/>
      <c r="N22" s="189"/>
      <c r="O22" s="189"/>
      <c r="P22" s="189"/>
      <c r="Q22" s="189"/>
      <c r="R22" s="189"/>
      <c r="S22" s="189"/>
      <c r="T22" s="190"/>
      <c r="U22" s="199"/>
      <c r="W22" s="148"/>
      <c r="X22" s="148"/>
      <c r="Y22" s="148"/>
    </row>
    <row r="23" spans="2:25" ht="26.25" customHeight="1">
      <c r="E23" s="183" t="str">
        <f>"Cantidad de procesos terminados en ekOGUI durante el "&amp;Administrador!B3&amp;" semestre de "&amp;Administrador!B4</f>
        <v>Cantidad de procesos terminados en ekOGUI durante el PRIMER semestre de 2025</v>
      </c>
      <c r="F23" s="183"/>
      <c r="G23" s="183"/>
      <c r="H23" s="183"/>
      <c r="I23" s="183"/>
      <c r="J23" s="183"/>
      <c r="K23" s="191"/>
      <c r="L23" s="177">
        <v>0</v>
      </c>
      <c r="M23" s="197"/>
      <c r="N23" s="175" t="str">
        <f>"Cantidad de procesos en ekOGUI - Calificación durante el semestre "&amp;Administrador!B2</f>
        <v>Cantidad de procesos en ekOGUI - Calificación durante el semestre I - 2025</v>
      </c>
      <c r="O23" s="175"/>
      <c r="P23" s="175"/>
      <c r="Q23" s="175"/>
      <c r="R23" s="175"/>
      <c r="S23" s="175"/>
      <c r="T23" s="176"/>
      <c r="U23" s="177">
        <v>45</v>
      </c>
      <c r="W23" s="148"/>
      <c r="X23" s="148"/>
      <c r="Y23" s="148"/>
    </row>
    <row r="24" spans="2:25" ht="21" customHeight="1">
      <c r="E24" s="183"/>
      <c r="F24" s="183"/>
      <c r="G24" s="183"/>
      <c r="H24" s="183"/>
      <c r="I24" s="183"/>
      <c r="J24" s="183"/>
      <c r="K24" s="191"/>
      <c r="L24" s="177"/>
      <c r="M24" s="43"/>
      <c r="N24" s="175"/>
      <c r="O24" s="175"/>
      <c r="P24" s="175"/>
      <c r="Q24" s="175"/>
      <c r="R24" s="175"/>
      <c r="S24" s="175"/>
      <c r="T24" s="176"/>
      <c r="U24" s="177"/>
      <c r="W24" s="148"/>
      <c r="X24" s="148"/>
      <c r="Y24" s="148"/>
    </row>
    <row r="25" spans="2:25" ht="18" customHeight="1">
      <c r="E25" s="16"/>
      <c r="F25" s="16"/>
      <c r="G25" s="16"/>
      <c r="H25" s="16"/>
      <c r="I25" s="16"/>
      <c r="J25" s="94"/>
      <c r="K25" s="54">
        <f>+L23*25%</f>
        <v>0</v>
      </c>
      <c r="L25" s="54">
        <f>+INT(IF(L23&lt;10,L23,IF(K25&lt;10,10,K25)))</f>
        <v>0</v>
      </c>
      <c r="M25" s="24"/>
      <c r="N25" s="189" t="str">
        <f>"Cantidad de procesos en ekOGUI - Calificación anterior al semestre "&amp;Administrador!B2</f>
        <v>Cantidad de procesos en ekOGUI - Calificación anterior al semestre I - 2025</v>
      </c>
      <c r="O25" s="189"/>
      <c r="P25" s="189"/>
      <c r="Q25" s="189"/>
      <c r="R25" s="189"/>
      <c r="S25" s="189"/>
      <c r="T25" s="190"/>
      <c r="U25" s="174">
        <v>1</v>
      </c>
      <c r="W25" s="148"/>
      <c r="X25" s="148"/>
      <c r="Y25" s="148"/>
    </row>
    <row r="26" spans="2:25" ht="26.25" customHeight="1">
      <c r="E26" s="133" t="str">
        <f>"Seleccione "&amp;L25&amp;" procesos terminados en el primer semestre de "&amp;Administrador!A8&amp;" y diligencie la siguiente tabla:"</f>
        <v>Seleccione 0 procesos terminados en el primer semestre de 2025 y diligencie la siguiente tabla:</v>
      </c>
      <c r="F26" s="133"/>
      <c r="G26" s="133"/>
      <c r="H26" s="133"/>
      <c r="I26" s="133"/>
      <c r="J26" s="133"/>
      <c r="K26" s="133"/>
      <c r="L26" s="133"/>
      <c r="M26" s="24"/>
      <c r="N26" s="189"/>
      <c r="O26" s="189"/>
      <c r="P26" s="189"/>
      <c r="Q26" s="189"/>
      <c r="R26" s="189"/>
      <c r="S26" s="189"/>
      <c r="T26" s="190"/>
      <c r="U26" s="174"/>
      <c r="W26" s="148"/>
      <c r="X26" s="148"/>
      <c r="Y26" s="148"/>
    </row>
    <row r="27" spans="2:25" ht="18" customHeight="1">
      <c r="E27" s="133"/>
      <c r="F27" s="133"/>
      <c r="G27" s="133"/>
      <c r="H27" s="133"/>
      <c r="I27" s="133"/>
      <c r="J27" s="133"/>
      <c r="K27" s="133"/>
      <c r="L27" s="133"/>
      <c r="N27" s="201" t="s">
        <v>603</v>
      </c>
      <c r="O27" s="201"/>
      <c r="P27" s="201"/>
      <c r="Q27" s="201"/>
      <c r="R27" s="201"/>
      <c r="S27" s="201"/>
      <c r="T27" s="202"/>
      <c r="U27" s="181">
        <v>0</v>
      </c>
      <c r="W27" s="148"/>
      <c r="X27" s="148"/>
      <c r="Y27" s="148"/>
    </row>
    <row r="28" spans="2:25" ht="18" customHeight="1">
      <c r="E28" s="133"/>
      <c r="F28" s="133"/>
      <c r="G28" s="133"/>
      <c r="H28" s="133"/>
      <c r="I28" s="133"/>
      <c r="J28" s="133"/>
      <c r="K28" s="133"/>
      <c r="L28" s="133"/>
      <c r="N28" s="201"/>
      <c r="O28" s="201"/>
      <c r="P28" s="201"/>
      <c r="Q28" s="201"/>
      <c r="R28" s="201"/>
      <c r="S28" s="201"/>
      <c r="T28" s="202"/>
      <c r="U28" s="181"/>
      <c r="W28" s="148"/>
      <c r="X28" s="148"/>
      <c r="Y28" s="148"/>
    </row>
    <row r="29" spans="2:25" ht="26.45" customHeight="1">
      <c r="E29" s="91"/>
      <c r="F29" s="91"/>
      <c r="G29" s="91"/>
      <c r="H29" s="91"/>
      <c r="I29" s="91"/>
      <c r="J29" s="91"/>
      <c r="K29" s="91"/>
      <c r="L29" s="91"/>
      <c r="M29" s="92"/>
      <c r="T29" s="186" t="str">
        <f>IF(U23+U25+U27&lt;&gt;U21,"Calificación inconsistente","")</f>
        <v/>
      </c>
      <c r="U29" s="186"/>
      <c r="W29" s="148"/>
      <c r="X29" s="148"/>
      <c r="Y29" s="148"/>
    </row>
    <row r="30" spans="2:25" ht="15" customHeight="1">
      <c r="E30" s="133" t="s">
        <v>469</v>
      </c>
      <c r="F30" s="133"/>
      <c r="G30" s="133"/>
      <c r="H30" s="133"/>
      <c r="I30" s="133"/>
      <c r="J30" s="133"/>
      <c r="K30" s="133"/>
      <c r="L30" s="133" t="s">
        <v>468</v>
      </c>
      <c r="M30" s="93"/>
      <c r="N30" s="133" t="s">
        <v>631</v>
      </c>
      <c r="O30" s="133"/>
      <c r="P30" s="133"/>
      <c r="Q30" s="133"/>
      <c r="R30" s="137"/>
      <c r="S30" s="137" t="s">
        <v>473</v>
      </c>
      <c r="T30" s="133" t="s">
        <v>472</v>
      </c>
      <c r="U30" s="185"/>
      <c r="W30" s="148"/>
      <c r="X30" s="148"/>
      <c r="Y30" s="148"/>
    </row>
    <row r="31" spans="2:25" ht="21.75" customHeight="1">
      <c r="E31" s="133"/>
      <c r="F31" s="133"/>
      <c r="G31" s="133"/>
      <c r="H31" s="133"/>
      <c r="I31" s="133"/>
      <c r="J31" s="133"/>
      <c r="K31" s="133"/>
      <c r="L31" s="133"/>
      <c r="M31" s="93"/>
      <c r="N31" s="133"/>
      <c r="O31" s="133"/>
      <c r="P31" s="133"/>
      <c r="Q31" s="133"/>
      <c r="R31" s="137"/>
      <c r="S31" s="137"/>
      <c r="T31" s="185"/>
      <c r="U31" s="185"/>
      <c r="W31" s="148"/>
      <c r="X31" s="148"/>
      <c r="Y31" s="148"/>
    </row>
    <row r="32" spans="2:25" ht="18.75" customHeight="1">
      <c r="E32" s="171" t="s">
        <v>437</v>
      </c>
      <c r="F32" s="171"/>
      <c r="G32" s="171"/>
      <c r="H32" s="171"/>
      <c r="I32" s="171"/>
      <c r="J32" s="171"/>
      <c r="K32" s="172"/>
      <c r="L32" s="173">
        <f>+L25</f>
        <v>0</v>
      </c>
      <c r="M32" s="93"/>
      <c r="N32" s="192" t="s">
        <v>471</v>
      </c>
      <c r="O32" s="192"/>
      <c r="P32" s="192"/>
      <c r="Q32" s="192"/>
      <c r="R32" s="193"/>
      <c r="S32" s="170">
        <v>2</v>
      </c>
      <c r="T32" s="182">
        <v>0</v>
      </c>
      <c r="U32" s="174"/>
      <c r="W32" s="148"/>
      <c r="X32" s="148"/>
      <c r="Y32" s="148"/>
    </row>
    <row r="33" spans="5:25" ht="18.75" customHeight="1">
      <c r="E33" s="171"/>
      <c r="F33" s="171"/>
      <c r="G33" s="171"/>
      <c r="H33" s="171"/>
      <c r="I33" s="171"/>
      <c r="J33" s="171"/>
      <c r="K33" s="172"/>
      <c r="L33" s="173"/>
      <c r="M33" s="93"/>
      <c r="N33" s="192"/>
      <c r="O33" s="192"/>
      <c r="P33" s="192"/>
      <c r="Q33" s="192"/>
      <c r="R33" s="193"/>
      <c r="S33" s="170"/>
      <c r="T33" s="182"/>
      <c r="U33" s="174"/>
      <c r="W33" s="148"/>
      <c r="X33" s="148"/>
      <c r="Y33" s="148"/>
    </row>
    <row r="34" spans="5:25" ht="18.75" customHeight="1">
      <c r="E34" s="187" t="s">
        <v>438</v>
      </c>
      <c r="F34" s="187"/>
      <c r="G34" s="187"/>
      <c r="H34" s="187"/>
      <c r="I34" s="187"/>
      <c r="J34" s="187"/>
      <c r="K34" s="188"/>
      <c r="L34" s="177">
        <v>0</v>
      </c>
      <c r="M34" s="93"/>
      <c r="N34" s="183" t="s">
        <v>443</v>
      </c>
      <c r="O34" s="183"/>
      <c r="P34" s="183"/>
      <c r="Q34" s="183"/>
      <c r="R34" s="184"/>
      <c r="S34" s="169">
        <v>1</v>
      </c>
      <c r="T34" s="180">
        <v>0</v>
      </c>
      <c r="U34" s="181"/>
      <c r="V34" s="10"/>
      <c r="W34" s="148"/>
      <c r="X34" s="148"/>
      <c r="Y34" s="148"/>
    </row>
    <row r="35" spans="5:25" ht="18.75" customHeight="1">
      <c r="E35" s="187"/>
      <c r="F35" s="187"/>
      <c r="G35" s="187"/>
      <c r="H35" s="187"/>
      <c r="I35" s="187"/>
      <c r="J35" s="187"/>
      <c r="K35" s="188"/>
      <c r="L35" s="177"/>
      <c r="M35" s="93"/>
      <c r="N35" s="183"/>
      <c r="O35" s="183"/>
      <c r="P35" s="183"/>
      <c r="Q35" s="183"/>
      <c r="R35" s="184"/>
      <c r="S35" s="169"/>
      <c r="T35" s="180"/>
      <c r="U35" s="181"/>
      <c r="V35" s="10"/>
      <c r="W35" s="148"/>
      <c r="X35" s="148"/>
      <c r="Y35" s="148"/>
    </row>
    <row r="36" spans="5:25" ht="18.75" customHeight="1">
      <c r="E36" s="203" t="s">
        <v>439</v>
      </c>
      <c r="F36" s="203"/>
      <c r="G36" s="203"/>
      <c r="H36" s="203"/>
      <c r="I36" s="203"/>
      <c r="J36" s="203"/>
      <c r="K36" s="204"/>
      <c r="L36" s="174">
        <v>0</v>
      </c>
      <c r="M36" s="93"/>
      <c r="N36" s="192" t="s">
        <v>444</v>
      </c>
      <c r="O36" s="192"/>
      <c r="P36" s="192"/>
      <c r="Q36" s="192"/>
      <c r="R36" s="193"/>
      <c r="S36" s="170">
        <v>2</v>
      </c>
      <c r="T36" s="182">
        <v>1</v>
      </c>
      <c r="U36" s="174"/>
      <c r="V36" s="10">
        <f>+S32-T32</f>
        <v>2</v>
      </c>
      <c r="W36" s="148"/>
      <c r="X36" s="148"/>
      <c r="Y36" s="148"/>
    </row>
    <row r="37" spans="5:25" ht="18.75" customHeight="1">
      <c r="E37" s="203"/>
      <c r="F37" s="203"/>
      <c r="G37" s="203"/>
      <c r="H37" s="203"/>
      <c r="I37" s="203"/>
      <c r="J37" s="203"/>
      <c r="K37" s="204"/>
      <c r="L37" s="174"/>
      <c r="M37" s="93"/>
      <c r="N37" s="192"/>
      <c r="O37" s="192"/>
      <c r="P37" s="192"/>
      <c r="Q37" s="192"/>
      <c r="R37" s="193"/>
      <c r="S37" s="170"/>
      <c r="T37" s="182"/>
      <c r="U37" s="174"/>
      <c r="V37" s="10"/>
      <c r="W37" s="148"/>
      <c r="X37" s="148"/>
      <c r="Y37" s="148"/>
    </row>
    <row r="38" spans="5:25" ht="18.75" customHeight="1">
      <c r="E38" s="187" t="s">
        <v>440</v>
      </c>
      <c r="F38" s="187"/>
      <c r="G38" s="187"/>
      <c r="H38" s="187"/>
      <c r="I38" s="187"/>
      <c r="J38" s="187"/>
      <c r="K38" s="188"/>
      <c r="L38" s="177">
        <v>0</v>
      </c>
      <c r="M38" s="68"/>
      <c r="N38" s="194" t="s">
        <v>445</v>
      </c>
      <c r="O38" s="194"/>
      <c r="P38" s="194"/>
      <c r="Q38" s="194"/>
      <c r="R38" s="195"/>
      <c r="S38" s="169">
        <v>41</v>
      </c>
      <c r="T38" s="180">
        <v>41</v>
      </c>
      <c r="U38" s="181"/>
      <c r="V38" s="10">
        <f>+S34-T34</f>
        <v>1</v>
      </c>
      <c r="W38" s="148"/>
      <c r="X38" s="148"/>
      <c r="Y38" s="148"/>
    </row>
    <row r="39" spans="5:25" ht="18.75" customHeight="1">
      <c r="E39" s="187"/>
      <c r="F39" s="187"/>
      <c r="G39" s="187"/>
      <c r="H39" s="187"/>
      <c r="I39" s="187"/>
      <c r="J39" s="187"/>
      <c r="K39" s="188"/>
      <c r="L39" s="177"/>
      <c r="M39" s="68"/>
      <c r="N39" s="194"/>
      <c r="O39" s="194"/>
      <c r="P39" s="194"/>
      <c r="Q39" s="194"/>
      <c r="R39" s="195"/>
      <c r="S39" s="169"/>
      <c r="T39" s="180"/>
      <c r="U39" s="181"/>
      <c r="V39" s="10"/>
      <c r="W39" s="148"/>
      <c r="X39" s="148"/>
      <c r="Y39" s="148"/>
    </row>
    <row r="40" spans="5:25" ht="18" customHeight="1">
      <c r="E40" s="171" t="s">
        <v>441</v>
      </c>
      <c r="F40" s="171"/>
      <c r="G40" s="171"/>
      <c r="H40" s="171"/>
      <c r="I40" s="171"/>
      <c r="J40" s="171"/>
      <c r="K40" s="172"/>
      <c r="L40" s="174">
        <v>0</v>
      </c>
      <c r="M40" s="69"/>
      <c r="N40" s="68"/>
      <c r="O40" s="68"/>
      <c r="P40" s="68"/>
      <c r="Q40" s="68"/>
      <c r="R40" s="68"/>
      <c r="S40" s="68"/>
      <c r="T40" s="68"/>
      <c r="U40" s="68"/>
      <c r="V40" s="10">
        <f>+S36-T36</f>
        <v>1</v>
      </c>
      <c r="W40" s="148"/>
      <c r="X40" s="148"/>
      <c r="Y40" s="148"/>
    </row>
    <row r="41" spans="5:25" ht="18" customHeight="1">
      <c r="E41" s="171"/>
      <c r="F41" s="171"/>
      <c r="G41" s="171"/>
      <c r="H41" s="171"/>
      <c r="I41" s="171"/>
      <c r="J41" s="171"/>
      <c r="K41" s="172"/>
      <c r="L41" s="174"/>
      <c r="M41" s="68"/>
      <c r="N41" s="68"/>
      <c r="O41" s="68"/>
      <c r="P41" s="68"/>
      <c r="Q41" s="68"/>
      <c r="R41" s="68"/>
      <c r="S41" s="68"/>
      <c r="T41" s="68"/>
      <c r="U41" s="68"/>
      <c r="V41" s="10"/>
      <c r="W41" s="148"/>
      <c r="X41" s="148"/>
      <c r="Y41" s="148"/>
    </row>
    <row r="42" spans="5:25" ht="18" customHeight="1">
      <c r="V42" s="10">
        <f>+S38-T38</f>
        <v>0</v>
      </c>
      <c r="W42" s="148"/>
      <c r="X42" s="148"/>
      <c r="Y42" s="148"/>
    </row>
    <row r="43" spans="5:25" ht="18" customHeight="1">
      <c r="V43" s="10"/>
      <c r="W43" s="148"/>
      <c r="X43" s="148"/>
      <c r="Y43" s="148"/>
    </row>
    <row r="44" spans="5:25" ht="27" customHeight="1">
      <c r="E44" s="147" t="s">
        <v>619</v>
      </c>
      <c r="F44" s="147"/>
      <c r="G44" s="147"/>
      <c r="H44" s="147"/>
      <c r="I44" s="147"/>
      <c r="J44" s="147"/>
      <c r="K44" s="147"/>
      <c r="L44" s="147"/>
      <c r="M44" s="147"/>
      <c r="N44" s="147"/>
      <c r="O44" s="147"/>
      <c r="P44" s="147"/>
      <c r="Q44" s="147"/>
      <c r="R44" s="147"/>
      <c r="S44" s="147"/>
      <c r="T44" s="147"/>
      <c r="U44" s="147"/>
      <c r="V44" s="10"/>
      <c r="W44" s="148"/>
      <c r="X44" s="148"/>
      <c r="Y44" s="148"/>
    </row>
    <row r="45" spans="5:25" ht="18" customHeight="1">
      <c r="E45" s="149"/>
      <c r="F45" s="149"/>
      <c r="G45" s="149"/>
      <c r="H45" s="149"/>
      <c r="I45" s="149"/>
      <c r="J45" s="149"/>
      <c r="K45" s="149"/>
      <c r="L45" s="149"/>
      <c r="M45" s="149"/>
      <c r="N45" s="149"/>
      <c r="O45" s="149"/>
      <c r="P45" s="149"/>
      <c r="Q45" s="149"/>
      <c r="R45" s="149"/>
      <c r="S45" s="149"/>
      <c r="T45" s="149"/>
      <c r="U45" s="149"/>
      <c r="W45" s="148"/>
      <c r="X45" s="148"/>
      <c r="Y45" s="148"/>
    </row>
    <row r="46" spans="5:25" ht="18" customHeight="1">
      <c r="E46" s="149"/>
      <c r="F46" s="149"/>
      <c r="G46" s="149"/>
      <c r="H46" s="149"/>
      <c r="I46" s="149"/>
      <c r="J46" s="149"/>
      <c r="K46" s="149"/>
      <c r="L46" s="149"/>
      <c r="M46" s="149"/>
      <c r="N46" s="149"/>
      <c r="O46" s="149"/>
      <c r="P46" s="149"/>
      <c r="Q46" s="149"/>
      <c r="R46" s="149"/>
      <c r="S46" s="149"/>
      <c r="T46" s="149"/>
      <c r="U46" s="149"/>
      <c r="W46" s="148"/>
      <c r="X46" s="148"/>
      <c r="Y46" s="148"/>
    </row>
    <row r="47" spans="5:25" ht="18" customHeight="1">
      <c r="E47" s="149"/>
      <c r="F47" s="149"/>
      <c r="G47" s="149"/>
      <c r="H47" s="149"/>
      <c r="I47" s="149"/>
      <c r="J47" s="149"/>
      <c r="K47" s="149"/>
      <c r="L47" s="149"/>
      <c r="M47" s="149"/>
      <c r="N47" s="149"/>
      <c r="O47" s="149"/>
      <c r="P47" s="149"/>
      <c r="Q47" s="149"/>
      <c r="R47" s="149"/>
      <c r="S47" s="149"/>
      <c r="T47" s="149"/>
      <c r="U47" s="149"/>
      <c r="W47" s="148"/>
      <c r="X47" s="148"/>
      <c r="Y47" s="148"/>
    </row>
    <row r="48" spans="5:25" ht="18" customHeight="1">
      <c r="E48" s="149"/>
      <c r="F48" s="149"/>
      <c r="G48" s="149"/>
      <c r="H48" s="149"/>
      <c r="I48" s="149"/>
      <c r="J48" s="149"/>
      <c r="K48" s="149"/>
      <c r="L48" s="149"/>
      <c r="M48" s="149"/>
      <c r="N48" s="149"/>
      <c r="O48" s="149"/>
      <c r="P48" s="149"/>
      <c r="Q48" s="149"/>
      <c r="R48" s="149"/>
      <c r="S48" s="149"/>
      <c r="T48" s="149"/>
      <c r="U48" s="149"/>
      <c r="W48" s="148"/>
      <c r="X48" s="148"/>
      <c r="Y48" s="148"/>
    </row>
    <row r="49" spans="5:25" ht="18" customHeight="1">
      <c r="E49" s="149"/>
      <c r="F49" s="149"/>
      <c r="G49" s="149"/>
      <c r="H49" s="149"/>
      <c r="I49" s="149"/>
      <c r="J49" s="149"/>
      <c r="K49" s="149"/>
      <c r="L49" s="149"/>
      <c r="M49" s="149"/>
      <c r="N49" s="149"/>
      <c r="O49" s="149"/>
      <c r="P49" s="149"/>
      <c r="Q49" s="149"/>
      <c r="R49" s="149"/>
      <c r="S49" s="149"/>
      <c r="T49" s="149"/>
      <c r="U49" s="149"/>
      <c r="W49" s="148"/>
      <c r="X49" s="148"/>
      <c r="Y49" s="148"/>
    </row>
    <row r="50" spans="5:25">
      <c r="E50" s="149"/>
      <c r="F50" s="149"/>
      <c r="G50" s="149"/>
      <c r="H50" s="149"/>
      <c r="I50" s="149"/>
      <c r="J50" s="149"/>
      <c r="K50" s="149"/>
      <c r="L50" s="149"/>
      <c r="M50" s="149"/>
      <c r="N50" s="149"/>
      <c r="O50" s="149"/>
      <c r="P50" s="149"/>
      <c r="Q50" s="149"/>
      <c r="R50" s="149"/>
      <c r="S50" s="149"/>
      <c r="T50" s="149"/>
      <c r="U50" s="149"/>
      <c r="W50" s="148"/>
      <c r="X50" s="148"/>
      <c r="Y50" s="148"/>
    </row>
    <row r="51" spans="5:25">
      <c r="E51" s="149"/>
      <c r="F51" s="149"/>
      <c r="G51" s="149"/>
      <c r="H51" s="149"/>
      <c r="I51" s="149"/>
      <c r="J51" s="149"/>
      <c r="K51" s="149"/>
      <c r="L51" s="149"/>
      <c r="M51" s="149"/>
      <c r="N51" s="149"/>
      <c r="O51" s="149"/>
      <c r="P51" s="149"/>
      <c r="Q51" s="149"/>
      <c r="R51" s="149"/>
      <c r="S51" s="149"/>
      <c r="T51" s="149"/>
      <c r="U51" s="149"/>
      <c r="W51" s="148"/>
      <c r="X51" s="148"/>
      <c r="Y51" s="148"/>
    </row>
  </sheetData>
  <sheetProtection algorithmName="SHA-512" hashValue="3mPdrYIXbZVh5e/MxHEcENgMnfIiomZJ1ssw7JXOu/Ne73G6EEzTV4wETqefSmPiwCFKFO54E3Y0eGV20ZB54g==" saltValue="dVAEj05c9lvswiwBlyWKsQ==" spinCount="100000" sheet="1" objects="1" scenarios="1"/>
  <mergeCells count="87">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B18:C18"/>
    <mergeCell ref="B20:C20"/>
    <mergeCell ref="B16:C16"/>
    <mergeCell ref="E16:K17"/>
    <mergeCell ref="E12:K13"/>
    <mergeCell ref="B17:C17"/>
    <mergeCell ref="B19:C19"/>
    <mergeCell ref="E14:K15"/>
    <mergeCell ref="B11:C11"/>
    <mergeCell ref="B13:C13"/>
    <mergeCell ref="B15:C15"/>
    <mergeCell ref="E10:K11"/>
    <mergeCell ref="B6:C6"/>
    <mergeCell ref="B8:C8"/>
    <mergeCell ref="B14:C14"/>
    <mergeCell ref="B10:C10"/>
    <mergeCell ref="B12:C12"/>
    <mergeCell ref="B7:C7"/>
    <mergeCell ref="B9:C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N14:T15"/>
    <mergeCell ref="U14:U15"/>
    <mergeCell ref="N16:T17"/>
    <mergeCell ref="T34:U35"/>
    <mergeCell ref="T36:U37"/>
    <mergeCell ref="N34:R35"/>
    <mergeCell ref="T30:U31"/>
    <mergeCell ref="T29:U29"/>
    <mergeCell ref="B22:C22"/>
    <mergeCell ref="S34:S35"/>
    <mergeCell ref="S36:S37"/>
    <mergeCell ref="E26:L28"/>
    <mergeCell ref="E32:K33"/>
    <mergeCell ref="L32:L33"/>
    <mergeCell ref="L21:L22"/>
    <mergeCell ref="E30:K31"/>
    <mergeCell ref="B21:C21"/>
    <mergeCell ref="S30:S31"/>
    <mergeCell ref="N30:R31"/>
    <mergeCell ref="L30:L31"/>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70" zoomScaleNormal="70" workbookViewId="0">
      <selection activeCell="B14" sqref="B14:C14"/>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18.5703125" style="6" customWidth="1"/>
    <col min="12" max="12" width="14.5703125" style="6" customWidth="1"/>
    <col min="13" max="13" width="2.7109375" style="6" customWidth="1"/>
    <col min="14" max="19" width="9.140625" style="6" customWidth="1"/>
    <col min="20" max="20" width="17.7109375" style="6" customWidth="1"/>
    <col min="21" max="21" width="14.140625" style="6" customWidth="1"/>
    <col min="22" max="22" width="3.5703125" style="6" customWidth="1"/>
    <col min="23" max="24" width="9.140625" style="6" customWidth="1"/>
    <col min="25" max="25" width="13.28515625" style="6" customWidth="1"/>
    <col min="26" max="64" width="9.140625" style="6" customWidth="1"/>
    <col min="65" max="16384" width="11.42578125" style="6"/>
  </cols>
  <sheetData>
    <row r="2" spans="2:25">
      <c r="E2" s="131" t="s">
        <v>3</v>
      </c>
      <c r="F2" s="131"/>
      <c r="G2" s="131"/>
      <c r="H2" s="131"/>
      <c r="I2" s="131"/>
      <c r="J2" s="131"/>
      <c r="K2" s="131"/>
      <c r="L2" s="131"/>
      <c r="M2" s="131"/>
      <c r="N2" s="131"/>
      <c r="O2" s="131"/>
      <c r="P2" s="131"/>
      <c r="Q2" s="131"/>
      <c r="R2" s="131"/>
      <c r="S2" s="131"/>
      <c r="T2" s="131"/>
      <c r="U2" s="131"/>
      <c r="V2" s="131"/>
      <c r="W2" s="131"/>
      <c r="X2" s="131"/>
      <c r="Y2" s="131"/>
    </row>
    <row r="3" spans="2:25" ht="21" thickBot="1">
      <c r="E3" s="132"/>
      <c r="F3" s="132"/>
      <c r="G3" s="132"/>
      <c r="H3" s="132"/>
      <c r="I3" s="132"/>
      <c r="J3" s="132"/>
      <c r="K3" s="132"/>
      <c r="L3" s="132"/>
      <c r="M3" s="132"/>
      <c r="N3" s="132"/>
      <c r="O3" s="132"/>
      <c r="P3" s="132"/>
      <c r="Q3" s="132"/>
      <c r="R3" s="132"/>
      <c r="S3" s="132"/>
      <c r="T3" s="132"/>
      <c r="U3" s="132"/>
      <c r="V3" s="132"/>
      <c r="W3" s="132"/>
      <c r="X3" s="132"/>
      <c r="Y3" s="132"/>
    </row>
    <row r="5" spans="2:25" ht="14.25" customHeight="1">
      <c r="E5" s="158" t="s">
        <v>537</v>
      </c>
      <c r="F5" s="158"/>
      <c r="G5" s="158"/>
      <c r="H5" s="158"/>
      <c r="I5" s="158"/>
      <c r="J5" s="158"/>
      <c r="K5" s="158"/>
      <c r="L5" s="158"/>
      <c r="M5" s="158"/>
      <c r="N5" s="158"/>
      <c r="O5" s="158"/>
      <c r="P5" s="158"/>
      <c r="Q5" s="158"/>
      <c r="R5" s="158"/>
      <c r="S5" s="158"/>
      <c r="T5" s="158"/>
      <c r="U5" s="158"/>
      <c r="V5" s="12"/>
      <c r="W5" s="135" t="s">
        <v>624</v>
      </c>
      <c r="X5" s="135"/>
      <c r="Y5" s="135"/>
    </row>
    <row r="6" spans="2:25">
      <c r="B6" s="109" t="s">
        <v>616</v>
      </c>
      <c r="C6" s="109"/>
      <c r="E6" s="158"/>
      <c r="F6" s="158"/>
      <c r="G6" s="158"/>
      <c r="H6" s="158"/>
      <c r="I6" s="158"/>
      <c r="J6" s="158"/>
      <c r="K6" s="158"/>
      <c r="L6" s="158"/>
      <c r="M6" s="158"/>
      <c r="N6" s="158"/>
      <c r="O6" s="158"/>
      <c r="P6" s="158"/>
      <c r="Q6" s="158"/>
      <c r="R6" s="158"/>
      <c r="S6" s="158"/>
      <c r="T6" s="158"/>
      <c r="U6" s="158"/>
      <c r="V6" s="12"/>
      <c r="W6" s="135"/>
      <c r="X6" s="135"/>
      <c r="Y6" s="135"/>
    </row>
    <row r="7" spans="2:25">
      <c r="B7" s="109"/>
      <c r="C7" s="109"/>
      <c r="E7" s="25"/>
      <c r="F7" s="25"/>
      <c r="G7" s="25"/>
      <c r="H7" s="25"/>
      <c r="I7" s="25"/>
      <c r="J7" s="25"/>
      <c r="K7" s="25"/>
      <c r="L7" s="25"/>
      <c r="M7" s="25"/>
      <c r="N7" s="25"/>
      <c r="O7" s="25"/>
      <c r="P7" s="25"/>
      <c r="Q7" s="25"/>
      <c r="R7" s="25"/>
      <c r="S7" s="12"/>
      <c r="T7" s="12"/>
      <c r="U7" s="12"/>
      <c r="W7" s="135"/>
      <c r="X7" s="135"/>
      <c r="Y7" s="135"/>
    </row>
    <row r="8" spans="2:25" ht="19.5" customHeight="1">
      <c r="B8" s="109" t="s">
        <v>0</v>
      </c>
      <c r="C8" s="109"/>
      <c r="W8" s="135"/>
      <c r="X8" s="135"/>
      <c r="Y8" s="135"/>
    </row>
    <row r="9" spans="2:25">
      <c r="B9" s="109"/>
      <c r="C9" s="109"/>
      <c r="E9" s="208" t="s">
        <v>3</v>
      </c>
      <c r="F9" s="208"/>
      <c r="G9" s="208"/>
      <c r="H9" s="208"/>
      <c r="I9" s="208"/>
      <c r="J9" s="208"/>
      <c r="K9" s="209"/>
      <c r="L9" s="205" t="s">
        <v>468</v>
      </c>
      <c r="M9" s="71"/>
      <c r="N9" s="208" t="s">
        <v>3</v>
      </c>
      <c r="O9" s="208"/>
      <c r="P9" s="208"/>
      <c r="Q9" s="208"/>
      <c r="R9" s="208"/>
      <c r="S9" s="208"/>
      <c r="T9" s="209"/>
      <c r="U9" s="205" t="s">
        <v>468</v>
      </c>
      <c r="W9" s="135"/>
      <c r="X9" s="135"/>
      <c r="Y9" s="135"/>
    </row>
    <row r="10" spans="2:25" ht="20.25" customHeight="1">
      <c r="B10" s="109" t="s">
        <v>1</v>
      </c>
      <c r="C10" s="109"/>
      <c r="E10" s="208"/>
      <c r="F10" s="208"/>
      <c r="G10" s="208"/>
      <c r="H10" s="208"/>
      <c r="I10" s="208"/>
      <c r="J10" s="208"/>
      <c r="K10" s="209"/>
      <c r="L10" s="205"/>
      <c r="M10" s="71"/>
      <c r="N10" s="208"/>
      <c r="O10" s="208"/>
      <c r="P10" s="208"/>
      <c r="Q10" s="208"/>
      <c r="R10" s="208"/>
      <c r="S10" s="208"/>
      <c r="T10" s="209"/>
      <c r="U10" s="205"/>
      <c r="W10" s="135"/>
      <c r="X10" s="135"/>
      <c r="Y10" s="135"/>
    </row>
    <row r="11" spans="2:25">
      <c r="B11" s="109"/>
      <c r="C11" s="109"/>
      <c r="E11" s="189" t="str">
        <f>"Total de arbitramentos activos al "&amp;Administrador!B5&amp;"de "&amp;Administrador!B4&amp;" según jurídica"</f>
        <v>Total de arbitramentos activos al 30 DE JUNIO de 2025 según jurídica</v>
      </c>
      <c r="F11" s="189"/>
      <c r="G11" s="189"/>
      <c r="H11" s="189"/>
      <c r="I11" s="189"/>
      <c r="J11" s="189"/>
      <c r="K11" s="190"/>
      <c r="L11" s="206">
        <v>0</v>
      </c>
      <c r="M11" s="70"/>
      <c r="N11" s="189" t="str">
        <f>"Total arbitramentos terminados al "&amp;Administrador!B5&amp;"de "&amp;Administrador!B4&amp;" según jurídica"</f>
        <v>Total arbitramentos terminados al 30 DE JUNIO de 2025 según jurídica</v>
      </c>
      <c r="O11" s="189"/>
      <c r="P11" s="189"/>
      <c r="Q11" s="189"/>
      <c r="R11" s="189"/>
      <c r="S11" s="189"/>
      <c r="T11" s="190"/>
      <c r="U11" s="174">
        <v>0</v>
      </c>
      <c r="W11" s="135"/>
      <c r="X11" s="135"/>
      <c r="Y11" s="135"/>
    </row>
    <row r="12" spans="2:25" ht="24.75" customHeight="1">
      <c r="B12" s="109" t="s">
        <v>617</v>
      </c>
      <c r="C12" s="109"/>
      <c r="E12" s="189"/>
      <c r="F12" s="189"/>
      <c r="G12" s="189"/>
      <c r="H12" s="189"/>
      <c r="I12" s="189"/>
      <c r="J12" s="189"/>
      <c r="K12" s="190"/>
      <c r="L12" s="206"/>
      <c r="M12" s="70"/>
      <c r="N12" s="189"/>
      <c r="O12" s="189"/>
      <c r="P12" s="189"/>
      <c r="Q12" s="189"/>
      <c r="R12" s="189"/>
      <c r="S12" s="189"/>
      <c r="T12" s="190"/>
      <c r="U12" s="174"/>
      <c r="W12" s="110" t="s">
        <v>598</v>
      </c>
      <c r="X12" s="110"/>
      <c r="Y12" s="110"/>
    </row>
    <row r="13" spans="2:25" ht="24.75" customHeight="1">
      <c r="B13" s="109"/>
      <c r="C13" s="109"/>
      <c r="E13" s="175" t="s">
        <v>582</v>
      </c>
      <c r="F13" s="175"/>
      <c r="G13" s="175"/>
      <c r="H13" s="175"/>
      <c r="I13" s="175"/>
      <c r="J13" s="175"/>
      <c r="K13" s="176"/>
      <c r="L13" s="207">
        <v>0</v>
      </c>
      <c r="M13" s="70"/>
      <c r="N13" s="175" t="s">
        <v>583</v>
      </c>
      <c r="O13" s="175"/>
      <c r="P13" s="175"/>
      <c r="Q13" s="175"/>
      <c r="R13" s="175"/>
      <c r="S13" s="175"/>
      <c r="T13" s="176"/>
      <c r="U13" s="177">
        <v>0</v>
      </c>
      <c r="W13" s="110"/>
      <c r="X13" s="110"/>
      <c r="Y13" s="110"/>
    </row>
    <row r="14" spans="2:25" ht="20.25" customHeight="1">
      <c r="B14" s="109" t="s">
        <v>2</v>
      </c>
      <c r="C14" s="109"/>
      <c r="E14" s="175"/>
      <c r="F14" s="175"/>
      <c r="G14" s="175"/>
      <c r="H14" s="175"/>
      <c r="I14" s="175"/>
      <c r="J14" s="175"/>
      <c r="K14" s="176"/>
      <c r="L14" s="207"/>
      <c r="M14" s="70"/>
      <c r="N14" s="175"/>
      <c r="O14" s="175"/>
      <c r="P14" s="175"/>
      <c r="Q14" s="175"/>
      <c r="R14" s="175"/>
      <c r="S14" s="175"/>
      <c r="T14" s="176"/>
      <c r="U14" s="177"/>
      <c r="W14" s="17"/>
      <c r="X14" s="17"/>
      <c r="Y14" s="17"/>
    </row>
    <row r="15" spans="2:25" ht="19.5" customHeight="1">
      <c r="B15" s="109"/>
      <c r="C15" s="109"/>
    </row>
    <row r="16" spans="2:25" ht="19.5" customHeight="1">
      <c r="B16" s="109" t="s">
        <v>3</v>
      </c>
      <c r="C16" s="109"/>
    </row>
    <row r="17" spans="2:21" ht="27" customHeight="1">
      <c r="B17" s="109"/>
      <c r="C17" s="109"/>
      <c r="E17" s="147" t="s">
        <v>619</v>
      </c>
      <c r="F17" s="147"/>
      <c r="G17" s="147"/>
      <c r="H17" s="147"/>
      <c r="I17" s="147"/>
      <c r="J17" s="147"/>
      <c r="K17" s="147"/>
      <c r="L17" s="147"/>
      <c r="M17" s="147"/>
      <c r="N17" s="147"/>
      <c r="O17" s="147"/>
      <c r="P17" s="147"/>
      <c r="Q17" s="147"/>
      <c r="R17" s="147"/>
      <c r="S17" s="147"/>
      <c r="T17" s="147"/>
      <c r="U17" s="147"/>
    </row>
    <row r="18" spans="2:21" ht="39" customHeight="1">
      <c r="B18" s="109" t="s">
        <v>538</v>
      </c>
      <c r="C18" s="109"/>
      <c r="E18" s="149"/>
      <c r="F18" s="149"/>
      <c r="G18" s="149"/>
      <c r="H18" s="149"/>
      <c r="I18" s="149"/>
      <c r="J18" s="149"/>
      <c r="K18" s="149"/>
      <c r="L18" s="149"/>
      <c r="M18" s="149"/>
      <c r="N18" s="149"/>
      <c r="O18" s="149"/>
      <c r="P18" s="149"/>
      <c r="Q18" s="149"/>
      <c r="R18" s="149"/>
      <c r="S18" s="149"/>
      <c r="T18" s="149"/>
      <c r="U18" s="149"/>
    </row>
    <row r="19" spans="2:21" ht="12.75" customHeight="1">
      <c r="B19" s="109"/>
      <c r="C19" s="109"/>
      <c r="E19" s="149"/>
      <c r="F19" s="149"/>
      <c r="G19" s="149"/>
      <c r="H19" s="149"/>
      <c r="I19" s="149"/>
      <c r="J19" s="149"/>
      <c r="K19" s="149"/>
      <c r="L19" s="149"/>
      <c r="M19" s="149"/>
      <c r="N19" s="149"/>
      <c r="O19" s="149"/>
      <c r="P19" s="149"/>
      <c r="Q19" s="149"/>
      <c r="R19" s="149"/>
      <c r="S19" s="149"/>
      <c r="T19" s="149"/>
      <c r="U19" s="149"/>
    </row>
    <row r="20" spans="2:21">
      <c r="B20" s="109" t="s">
        <v>431</v>
      </c>
      <c r="C20" s="109"/>
      <c r="E20" s="149"/>
      <c r="F20" s="149"/>
      <c r="G20" s="149"/>
      <c r="H20" s="149"/>
      <c r="I20" s="149"/>
      <c r="J20" s="149"/>
      <c r="K20" s="149"/>
      <c r="L20" s="149"/>
      <c r="M20" s="149"/>
      <c r="N20" s="149"/>
      <c r="O20" s="149"/>
      <c r="P20" s="149"/>
      <c r="Q20" s="149"/>
      <c r="R20" s="149"/>
      <c r="S20" s="149"/>
      <c r="T20" s="149"/>
      <c r="U20" s="149"/>
    </row>
    <row r="21" spans="2:21">
      <c r="B21" s="109"/>
      <c r="C21" s="109"/>
      <c r="E21" s="149"/>
      <c r="F21" s="149"/>
      <c r="G21" s="149"/>
      <c r="H21" s="149"/>
      <c r="I21" s="149"/>
      <c r="J21" s="149"/>
      <c r="K21" s="149"/>
      <c r="L21" s="149"/>
      <c r="M21" s="149"/>
      <c r="N21" s="149"/>
      <c r="O21" s="149"/>
      <c r="P21" s="149"/>
      <c r="Q21" s="149"/>
      <c r="R21" s="149"/>
      <c r="S21" s="149"/>
      <c r="T21" s="149"/>
      <c r="U21" s="149"/>
    </row>
    <row r="22" spans="2:21" ht="65.25" customHeight="1">
      <c r="B22" s="109" t="s">
        <v>618</v>
      </c>
      <c r="C22" s="109"/>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 ref="B22:C22"/>
    <mergeCell ref="B21:C21"/>
    <mergeCell ref="B20:C20"/>
    <mergeCell ref="B14:C14"/>
    <mergeCell ref="B13:C13"/>
    <mergeCell ref="B15:C15"/>
    <mergeCell ref="B17:C17"/>
    <mergeCell ref="B19:C19"/>
    <mergeCell ref="E17:U17"/>
    <mergeCell ref="E18:U21"/>
    <mergeCell ref="B16:C16"/>
    <mergeCell ref="B9:C9"/>
    <mergeCell ref="B18:C18"/>
    <mergeCell ref="L9:L10"/>
    <mergeCell ref="B6:C6"/>
    <mergeCell ref="B8:C8"/>
    <mergeCell ref="B10:C10"/>
    <mergeCell ref="B12:C12"/>
    <mergeCell ref="B11:C11"/>
    <mergeCell ref="B7:C7"/>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4" zoomScale="70" zoomScaleNormal="70" workbookViewId="0">
      <selection activeCell="E31" sqref="E31"/>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34.5703125" style="6" customWidth="1"/>
    <col min="10" max="18" width="9.140625" style="6" customWidth="1"/>
    <col min="19" max="19" width="6.5703125" style="6" customWidth="1"/>
    <col min="20" max="21" width="9.140625" style="6" customWidth="1"/>
    <col min="22" max="22" width="15.42578125" style="6" customWidth="1"/>
    <col min="23" max="38" width="9.140625" style="6" customWidth="1"/>
    <col min="39" max="16384" width="11.42578125" style="6"/>
  </cols>
  <sheetData>
    <row r="1" spans="2:22" ht="26.25" customHeight="1">
      <c r="E1" s="131" t="s">
        <v>538</v>
      </c>
      <c r="F1" s="131"/>
      <c r="G1" s="131"/>
      <c r="H1" s="131"/>
      <c r="I1" s="131"/>
      <c r="J1" s="131"/>
      <c r="K1" s="131"/>
      <c r="L1" s="131"/>
      <c r="M1" s="131"/>
      <c r="N1" s="131"/>
      <c r="O1" s="131"/>
      <c r="P1" s="131"/>
      <c r="Q1" s="131"/>
      <c r="R1" s="131"/>
      <c r="S1" s="131"/>
      <c r="T1" s="131"/>
      <c r="U1" s="131"/>
      <c r="V1" s="131"/>
    </row>
    <row r="2" spans="2:22" ht="15" customHeight="1">
      <c r="E2" s="131"/>
      <c r="F2" s="131"/>
      <c r="G2" s="131"/>
      <c r="H2" s="131"/>
      <c r="I2" s="131"/>
      <c r="J2" s="131"/>
      <c r="K2" s="131"/>
      <c r="L2" s="131"/>
      <c r="M2" s="131"/>
      <c r="N2" s="131"/>
      <c r="O2" s="131"/>
      <c r="P2" s="131"/>
      <c r="Q2" s="131"/>
      <c r="R2" s="131"/>
      <c r="S2" s="131"/>
      <c r="T2" s="131"/>
      <c r="U2" s="131"/>
      <c r="V2" s="131"/>
    </row>
    <row r="3" spans="2:22" ht="15.75" customHeight="1" thickBot="1">
      <c r="E3" s="132"/>
      <c r="F3" s="132"/>
      <c r="G3" s="132"/>
      <c r="H3" s="132"/>
      <c r="I3" s="132"/>
      <c r="J3" s="132"/>
      <c r="K3" s="132"/>
      <c r="L3" s="132"/>
      <c r="M3" s="132"/>
      <c r="N3" s="132"/>
      <c r="O3" s="132"/>
      <c r="P3" s="132"/>
      <c r="Q3" s="132"/>
      <c r="R3" s="132"/>
      <c r="S3" s="132"/>
      <c r="T3" s="132"/>
      <c r="U3" s="132"/>
      <c r="V3" s="132"/>
    </row>
    <row r="5" spans="2:22" ht="14.25" customHeight="1">
      <c r="E5" s="158" t="s">
        <v>536</v>
      </c>
      <c r="F5" s="158"/>
      <c r="G5" s="158"/>
      <c r="H5" s="158"/>
      <c r="I5" s="158"/>
      <c r="J5" s="158"/>
      <c r="K5" s="158"/>
      <c r="L5" s="158"/>
      <c r="M5" s="158"/>
      <c r="N5" s="158"/>
      <c r="O5" s="158"/>
      <c r="P5" s="158"/>
      <c r="Q5" s="158"/>
      <c r="R5" s="158"/>
      <c r="T5" s="135" t="s">
        <v>625</v>
      </c>
      <c r="U5" s="135"/>
      <c r="V5" s="135"/>
    </row>
    <row r="6" spans="2:22">
      <c r="B6" s="109" t="s">
        <v>616</v>
      </c>
      <c r="C6" s="109"/>
      <c r="E6" s="158"/>
      <c r="F6" s="158"/>
      <c r="G6" s="158"/>
      <c r="H6" s="158"/>
      <c r="I6" s="158"/>
      <c r="J6" s="158"/>
      <c r="K6" s="158"/>
      <c r="L6" s="158"/>
      <c r="M6" s="158"/>
      <c r="N6" s="158"/>
      <c r="O6" s="158"/>
      <c r="P6" s="158"/>
      <c r="Q6" s="158"/>
      <c r="R6" s="158"/>
      <c r="T6" s="135"/>
      <c r="U6" s="135"/>
      <c r="V6" s="135"/>
    </row>
    <row r="7" spans="2:22" ht="14.65" customHeight="1">
      <c r="B7" s="109"/>
      <c r="C7" s="109"/>
      <c r="P7" s="16"/>
      <c r="Q7" s="16"/>
      <c r="R7" s="16"/>
      <c r="T7" s="135"/>
      <c r="U7" s="135"/>
      <c r="V7" s="135"/>
    </row>
    <row r="8" spans="2:22" ht="19.5" customHeight="1">
      <c r="B8" s="109" t="s">
        <v>0</v>
      </c>
      <c r="C8" s="109"/>
      <c r="E8" s="133" t="str">
        <f>"Su entidad gestionó sesiones del comité de conciliación a través del sistema eKOGUI durante el semestre "&amp;Portada!I6</f>
        <v>Su entidad gestionó sesiones del comité de conciliación a través del sistema eKOGUI durante el semestre I - 2025</v>
      </c>
      <c r="F8" s="133"/>
      <c r="G8" s="133"/>
      <c r="H8" s="133"/>
      <c r="I8" s="133"/>
      <c r="J8" s="133"/>
      <c r="K8" s="133"/>
      <c r="L8" s="133"/>
      <c r="M8" s="133"/>
      <c r="N8" s="133"/>
      <c r="O8" s="133"/>
      <c r="P8" s="133"/>
      <c r="Q8" s="133"/>
      <c r="R8" s="218" t="s">
        <v>636</v>
      </c>
      <c r="T8" s="135"/>
      <c r="U8" s="135"/>
      <c r="V8" s="135"/>
    </row>
    <row r="9" spans="2:22">
      <c r="B9" s="109"/>
      <c r="C9" s="109"/>
      <c r="E9" s="133"/>
      <c r="F9" s="133"/>
      <c r="G9" s="133"/>
      <c r="H9" s="133"/>
      <c r="I9" s="133"/>
      <c r="J9" s="133"/>
      <c r="K9" s="133"/>
      <c r="L9" s="133"/>
      <c r="M9" s="133"/>
      <c r="N9" s="133"/>
      <c r="O9" s="133"/>
      <c r="P9" s="133"/>
      <c r="Q9" s="133"/>
      <c r="R9" s="218"/>
      <c r="T9" s="135"/>
      <c r="U9" s="135"/>
      <c r="V9" s="135"/>
    </row>
    <row r="10" spans="2:22" ht="20.25" customHeight="1">
      <c r="B10" s="109" t="s">
        <v>1</v>
      </c>
      <c r="C10" s="109"/>
      <c r="E10" s="217" t="s">
        <v>586</v>
      </c>
      <c r="F10" s="217"/>
      <c r="G10" s="217"/>
      <c r="H10" s="217"/>
      <c r="I10" s="217"/>
      <c r="J10" s="217"/>
      <c r="K10" s="217"/>
      <c r="L10" s="217"/>
      <c r="M10" s="217"/>
      <c r="N10" s="217"/>
      <c r="O10" s="217"/>
      <c r="P10" s="217"/>
      <c r="Q10" s="217"/>
      <c r="R10" s="218" t="s">
        <v>636</v>
      </c>
      <c r="T10" s="135"/>
      <c r="U10" s="135"/>
      <c r="V10" s="135"/>
    </row>
    <row r="11" spans="2:22">
      <c r="B11" s="109"/>
      <c r="C11" s="109"/>
      <c r="E11" s="217"/>
      <c r="F11" s="217"/>
      <c r="G11" s="217"/>
      <c r="H11" s="217"/>
      <c r="I11" s="217"/>
      <c r="J11" s="217"/>
      <c r="K11" s="217"/>
      <c r="L11" s="217"/>
      <c r="M11" s="217"/>
      <c r="N11" s="217"/>
      <c r="O11" s="217"/>
      <c r="P11" s="217"/>
      <c r="Q11" s="217"/>
      <c r="R11" s="218"/>
      <c r="T11" s="135"/>
      <c r="U11" s="135"/>
      <c r="V11" s="135"/>
    </row>
    <row r="12" spans="2:22" ht="20.25" customHeight="1">
      <c r="B12" s="109" t="s">
        <v>617</v>
      </c>
      <c r="C12" s="109"/>
      <c r="T12" s="135"/>
      <c r="U12" s="135"/>
      <c r="V12" s="135"/>
    </row>
    <row r="13" spans="2:22">
      <c r="B13" s="109"/>
      <c r="C13" s="109"/>
      <c r="E13" s="216" t="s">
        <v>493</v>
      </c>
      <c r="F13" s="216"/>
      <c r="G13" s="216"/>
      <c r="H13" s="216"/>
      <c r="I13" s="216"/>
      <c r="J13" s="216"/>
      <c r="K13" s="216"/>
      <c r="L13" s="216"/>
      <c r="M13" s="216"/>
      <c r="N13" s="216"/>
      <c r="O13" s="216"/>
      <c r="T13" s="110" t="s">
        <v>598</v>
      </c>
      <c r="U13" s="110"/>
      <c r="V13" s="110"/>
    </row>
    <row r="14" spans="2:22" ht="20.25" customHeight="1">
      <c r="B14" s="109" t="s">
        <v>2</v>
      </c>
      <c r="C14" s="109"/>
      <c r="E14" s="216"/>
      <c r="F14" s="216"/>
      <c r="G14" s="216"/>
      <c r="H14" s="216"/>
      <c r="I14" s="216"/>
      <c r="J14" s="211" t="s">
        <v>487</v>
      </c>
      <c r="K14" s="211"/>
      <c r="L14" s="211" t="s">
        <v>488</v>
      </c>
      <c r="M14" s="211"/>
      <c r="N14" s="211" t="s">
        <v>489</v>
      </c>
      <c r="O14" s="211"/>
      <c r="T14" s="110"/>
      <c r="U14" s="110"/>
      <c r="V14" s="110"/>
    </row>
    <row r="15" spans="2:22" ht="30.75" customHeight="1">
      <c r="B15" s="109"/>
      <c r="C15" s="109"/>
      <c r="E15" s="192" t="s">
        <v>588</v>
      </c>
      <c r="F15" s="192"/>
      <c r="G15" s="192"/>
      <c r="H15" s="192"/>
      <c r="I15" s="193"/>
      <c r="J15" s="182">
        <v>0</v>
      </c>
      <c r="K15" s="210"/>
      <c r="L15" s="182">
        <v>0</v>
      </c>
      <c r="M15" s="210"/>
      <c r="N15" s="213">
        <f>+J15+L15</f>
        <v>0</v>
      </c>
      <c r="O15" s="213"/>
      <c r="T15" s="17"/>
      <c r="U15" s="17"/>
      <c r="V15" s="17"/>
    </row>
    <row r="16" spans="2:22" ht="30.75" customHeight="1">
      <c r="B16" s="109" t="s">
        <v>3</v>
      </c>
      <c r="C16" s="109"/>
      <c r="E16" s="183" t="s">
        <v>589</v>
      </c>
      <c r="F16" s="183"/>
      <c r="G16" s="183"/>
      <c r="H16" s="183"/>
      <c r="I16" s="184"/>
      <c r="J16" s="180">
        <v>2</v>
      </c>
      <c r="K16" s="215"/>
      <c r="L16" s="180">
        <v>0</v>
      </c>
      <c r="M16" s="215"/>
      <c r="N16" s="214">
        <f>+J16+L16</f>
        <v>2</v>
      </c>
      <c r="O16" s="214"/>
    </row>
    <row r="17" spans="2:19" ht="30.75" customHeight="1">
      <c r="B17" s="109"/>
      <c r="C17" s="109"/>
      <c r="E17" s="192" t="s">
        <v>590</v>
      </c>
      <c r="F17" s="192"/>
      <c r="G17" s="192"/>
      <c r="H17" s="192"/>
      <c r="I17" s="193"/>
      <c r="J17" s="182">
        <v>1</v>
      </c>
      <c r="K17" s="210"/>
      <c r="L17" s="182"/>
      <c r="M17" s="210"/>
      <c r="N17" s="213">
        <f>+J17+L17</f>
        <v>1</v>
      </c>
      <c r="O17" s="213"/>
      <c r="S17" s="18"/>
    </row>
    <row r="18" spans="2:19" ht="20.25" customHeight="1">
      <c r="B18" s="109" t="s">
        <v>538</v>
      </c>
      <c r="C18" s="109"/>
      <c r="S18" s="18"/>
    </row>
    <row r="19" spans="2:19" ht="27" customHeight="1">
      <c r="B19" s="109"/>
      <c r="C19" s="109"/>
      <c r="E19" s="211" t="s">
        <v>494</v>
      </c>
      <c r="F19" s="211"/>
      <c r="G19" s="211"/>
      <c r="H19" s="211"/>
      <c r="I19" s="211"/>
      <c r="J19" s="212" t="s">
        <v>468</v>
      </c>
      <c r="K19" s="212"/>
    </row>
    <row r="20" spans="2:19" ht="30.75" customHeight="1">
      <c r="B20" s="109" t="s">
        <v>431</v>
      </c>
      <c r="C20" s="109"/>
      <c r="E20" s="192" t="s">
        <v>490</v>
      </c>
      <c r="F20" s="192"/>
      <c r="G20" s="192"/>
      <c r="H20" s="192"/>
      <c r="I20" s="193"/>
      <c r="J20" s="182">
        <v>0</v>
      </c>
      <c r="K20" s="174"/>
    </row>
    <row r="21" spans="2:19" ht="30.75" customHeight="1">
      <c r="B21" s="109"/>
      <c r="C21" s="109"/>
      <c r="E21" s="183" t="s">
        <v>491</v>
      </c>
      <c r="F21" s="183"/>
      <c r="G21" s="183"/>
      <c r="H21" s="183"/>
      <c r="I21" s="184"/>
      <c r="J21" s="180">
        <v>0</v>
      </c>
      <c r="K21" s="181"/>
    </row>
    <row r="22" spans="2:19" ht="39" customHeight="1">
      <c r="B22" s="109" t="s">
        <v>618</v>
      </c>
      <c r="C22" s="109"/>
      <c r="E22" s="192" t="s">
        <v>492</v>
      </c>
      <c r="F22" s="192"/>
      <c r="G22" s="192"/>
      <c r="H22" s="192"/>
      <c r="I22" s="193"/>
      <c r="J22" s="182">
        <v>0</v>
      </c>
      <c r="K22" s="174"/>
    </row>
    <row r="23" spans="2:19">
      <c r="O23" s="19"/>
    </row>
    <row r="24" spans="2:19" ht="27.75" customHeight="1">
      <c r="E24" s="147" t="s">
        <v>619</v>
      </c>
      <c r="F24" s="147"/>
      <c r="G24" s="147"/>
      <c r="H24" s="147"/>
      <c r="I24" s="147"/>
      <c r="J24" s="147"/>
      <c r="K24" s="147"/>
      <c r="L24" s="147"/>
      <c r="M24" s="147"/>
      <c r="N24" s="147"/>
      <c r="O24" s="147"/>
      <c r="P24" s="147"/>
      <c r="Q24" s="147"/>
      <c r="R24" s="147"/>
    </row>
    <row r="25" spans="2:19" ht="15.75" customHeight="1">
      <c r="E25" s="149" t="s">
        <v>654</v>
      </c>
      <c r="F25" s="149"/>
      <c r="G25" s="149"/>
      <c r="H25" s="149"/>
      <c r="I25" s="149"/>
      <c r="J25" s="149"/>
      <c r="K25" s="149"/>
      <c r="L25" s="149"/>
      <c r="M25" s="149"/>
      <c r="N25" s="149"/>
      <c r="O25" s="149"/>
      <c r="P25" s="149"/>
      <c r="Q25" s="149"/>
      <c r="R25" s="149"/>
    </row>
    <row r="26" spans="2:19" ht="15.75" customHeight="1">
      <c r="E26" s="149"/>
      <c r="F26" s="149"/>
      <c r="G26" s="149"/>
      <c r="H26" s="149"/>
      <c r="I26" s="149"/>
      <c r="J26" s="149"/>
      <c r="K26" s="149"/>
      <c r="L26" s="149"/>
      <c r="M26" s="149"/>
      <c r="N26" s="149"/>
      <c r="O26" s="149"/>
      <c r="P26" s="149"/>
      <c r="Q26" s="149"/>
      <c r="R26" s="149"/>
    </row>
    <row r="27" spans="2:19">
      <c r="E27" s="149"/>
      <c r="F27" s="149"/>
      <c r="G27" s="149"/>
      <c r="H27" s="149"/>
      <c r="I27" s="149"/>
      <c r="J27" s="149"/>
      <c r="K27" s="149"/>
      <c r="L27" s="149"/>
      <c r="M27" s="149"/>
      <c r="N27" s="149"/>
      <c r="O27" s="149"/>
      <c r="P27" s="149"/>
      <c r="Q27" s="149"/>
      <c r="R27" s="149"/>
    </row>
    <row r="28" spans="2:19">
      <c r="E28" s="149"/>
      <c r="F28" s="149"/>
      <c r="G28" s="149"/>
      <c r="H28" s="149"/>
      <c r="I28" s="149"/>
      <c r="J28" s="149"/>
      <c r="K28" s="149"/>
      <c r="L28" s="149"/>
      <c r="M28" s="149"/>
      <c r="N28" s="149"/>
      <c r="O28" s="149"/>
      <c r="P28" s="149"/>
      <c r="Q28" s="149"/>
      <c r="R28" s="149"/>
    </row>
    <row r="29" spans="2:19">
      <c r="E29" s="149"/>
      <c r="F29" s="149"/>
      <c r="G29" s="149"/>
      <c r="H29" s="149"/>
      <c r="I29" s="149"/>
      <c r="J29" s="149"/>
      <c r="K29" s="149"/>
      <c r="L29" s="149"/>
      <c r="M29" s="149"/>
      <c r="N29" s="149"/>
      <c r="O29" s="149"/>
      <c r="P29" s="149"/>
      <c r="Q29" s="149"/>
      <c r="R29" s="149"/>
    </row>
    <row r="30" spans="2:19">
      <c r="E30" s="149"/>
      <c r="F30" s="149"/>
      <c r="G30" s="149"/>
      <c r="H30" s="149"/>
      <c r="I30" s="149"/>
      <c r="J30" s="149"/>
      <c r="K30" s="149"/>
      <c r="L30" s="149"/>
      <c r="M30" s="149"/>
      <c r="N30" s="149"/>
      <c r="O30" s="149"/>
      <c r="P30" s="149"/>
      <c r="Q30" s="149"/>
      <c r="R30" s="149"/>
    </row>
  </sheetData>
  <sheetProtection algorithmName="SHA-512" hashValue="1oe/3PVvXAP0okQl85CGBO0I2y9W/mOGrIFfkQKbyFtx4CiLmPYfFT0jUoy26aDh7OQ8o0MH8/tEUY+98S24sQ==" saltValue="OWEdMn6HBKY3wznpUQ2mVA==" spinCount="100000" sheet="1" objects="1" scenarios="1"/>
  <mergeCells count="52">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 ref="B9:C9"/>
    <mergeCell ref="E13:O13"/>
    <mergeCell ref="T5:V12"/>
    <mergeCell ref="E1:V3"/>
    <mergeCell ref="E14:I14"/>
    <mergeCell ref="E5:R6"/>
    <mergeCell ref="E8:Q9"/>
    <mergeCell ref="E10:Q11"/>
    <mergeCell ref="R8:R9"/>
    <mergeCell ref="R10:R1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J15:K15"/>
    <mergeCell ref="L15:M15"/>
    <mergeCell ref="L17:M17"/>
    <mergeCell ref="E20:I20"/>
    <mergeCell ref="E21:I21"/>
    <mergeCell ref="E22:I22"/>
    <mergeCell ref="B22:C22"/>
    <mergeCell ref="J22:K22"/>
    <mergeCell ref="J21:K21"/>
    <mergeCell ref="J20:K20"/>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85" zoomScaleNormal="85" workbookViewId="0">
      <selection activeCell="E17" sqref="E17:S21"/>
    </sheetView>
  </sheetViews>
  <sheetFormatPr baseColWidth="10" defaultColWidth="11.42578125" defaultRowHeight="20.25"/>
  <cols>
    <col min="1" max="1" width="0" style="6" hidden="1" customWidth="1"/>
    <col min="2" max="2" width="17.7109375" style="55" customWidth="1"/>
    <col min="3" max="3" width="19.85546875" style="55" customWidth="1"/>
    <col min="4" max="14" width="9.140625" style="6" customWidth="1"/>
    <col min="15" max="15" width="9.140625" style="6" hidden="1" customWidth="1"/>
    <col min="16" max="19" width="9.140625" style="6" customWidth="1"/>
    <col min="20" max="20" width="14.42578125" style="6" customWidth="1"/>
    <col min="21" max="22" width="9.140625" style="6" customWidth="1"/>
    <col min="23" max="23" width="17.5703125" style="6" customWidth="1"/>
    <col min="24" max="44" width="9.140625" style="6" customWidth="1"/>
    <col min="45" max="16384" width="11.42578125" style="6"/>
  </cols>
  <sheetData>
    <row r="2" spans="2:23">
      <c r="E2" s="131" t="s">
        <v>431</v>
      </c>
      <c r="F2" s="131"/>
      <c r="G2" s="131"/>
      <c r="H2" s="131"/>
      <c r="I2" s="131"/>
      <c r="J2" s="131"/>
      <c r="K2" s="131"/>
      <c r="L2" s="131"/>
      <c r="M2" s="131"/>
      <c r="N2" s="131"/>
      <c r="O2" s="131"/>
      <c r="P2" s="131"/>
      <c r="Q2" s="131"/>
      <c r="R2" s="131"/>
      <c r="S2" s="131"/>
      <c r="T2" s="131"/>
      <c r="U2" s="131"/>
      <c r="V2" s="131"/>
      <c r="W2" s="131"/>
    </row>
    <row r="3" spans="2:23" ht="21" thickBot="1">
      <c r="E3" s="132"/>
      <c r="F3" s="132"/>
      <c r="G3" s="132"/>
      <c r="H3" s="132"/>
      <c r="I3" s="132"/>
      <c r="J3" s="132"/>
      <c r="K3" s="132"/>
      <c r="L3" s="132"/>
      <c r="M3" s="132"/>
      <c r="N3" s="132"/>
      <c r="O3" s="132"/>
      <c r="P3" s="132"/>
      <c r="Q3" s="132"/>
      <c r="R3" s="132"/>
      <c r="S3" s="132"/>
      <c r="T3" s="132"/>
      <c r="U3" s="132"/>
      <c r="V3" s="132"/>
      <c r="W3" s="132"/>
    </row>
    <row r="5" spans="2:23" ht="15.75" customHeight="1">
      <c r="E5" s="158" t="s">
        <v>635</v>
      </c>
      <c r="F5" s="158"/>
      <c r="G5" s="158"/>
      <c r="H5" s="158"/>
      <c r="I5" s="158"/>
      <c r="J5" s="158"/>
      <c r="K5" s="158"/>
      <c r="L5" s="158"/>
      <c r="M5" s="158"/>
      <c r="N5" s="158"/>
      <c r="O5" s="158"/>
      <c r="P5" s="158"/>
      <c r="Q5" s="158"/>
      <c r="R5" s="158"/>
      <c r="S5" s="158"/>
      <c r="U5" s="135" t="s">
        <v>626</v>
      </c>
      <c r="V5" s="135"/>
      <c r="W5" s="135"/>
    </row>
    <row r="6" spans="2:23" ht="19.5" customHeight="1">
      <c r="B6" s="109" t="s">
        <v>616</v>
      </c>
      <c r="C6" s="109"/>
      <c r="E6" s="158"/>
      <c r="F6" s="158"/>
      <c r="G6" s="158"/>
      <c r="H6" s="158"/>
      <c r="I6" s="158"/>
      <c r="J6" s="158"/>
      <c r="K6" s="158"/>
      <c r="L6" s="158"/>
      <c r="M6" s="158"/>
      <c r="N6" s="158"/>
      <c r="O6" s="158"/>
      <c r="P6" s="158"/>
      <c r="Q6" s="158"/>
      <c r="R6" s="158"/>
      <c r="S6" s="158"/>
      <c r="U6" s="135"/>
      <c r="V6" s="135"/>
      <c r="W6" s="135"/>
    </row>
    <row r="7" spans="2:23" ht="19.5" customHeight="1">
      <c r="B7" s="109"/>
      <c r="C7" s="109"/>
      <c r="S7" s="89"/>
      <c r="T7" s="89"/>
      <c r="U7" s="135"/>
      <c r="V7" s="135"/>
      <c r="W7" s="135"/>
    </row>
    <row r="8" spans="2:23" ht="19.5" customHeight="1">
      <c r="B8" s="109" t="s">
        <v>0</v>
      </c>
      <c r="C8" s="109"/>
      <c r="S8" s="89"/>
      <c r="T8" s="89"/>
      <c r="U8" s="135"/>
      <c r="V8" s="135"/>
      <c r="W8" s="135"/>
    </row>
    <row r="9" spans="2:23" ht="11.25" customHeight="1">
      <c r="B9" s="109"/>
      <c r="C9" s="109"/>
      <c r="E9" s="219" t="s">
        <v>615</v>
      </c>
      <c r="F9" s="219"/>
      <c r="G9" s="219"/>
      <c r="H9" s="219"/>
      <c r="I9" s="219"/>
      <c r="J9" s="219"/>
      <c r="K9" s="219"/>
      <c r="L9" s="219"/>
      <c r="M9" s="219"/>
      <c r="N9" s="219"/>
      <c r="O9" s="219"/>
      <c r="P9" s="219"/>
      <c r="Q9" s="219"/>
      <c r="R9" s="218" t="s">
        <v>636</v>
      </c>
      <c r="S9" s="218"/>
      <c r="T9" s="89"/>
      <c r="U9" s="135"/>
      <c r="V9" s="135"/>
      <c r="W9" s="135"/>
    </row>
    <row r="10" spans="2:23" ht="20.25" customHeight="1">
      <c r="B10" s="109" t="s">
        <v>1</v>
      </c>
      <c r="C10" s="109"/>
      <c r="E10" s="219"/>
      <c r="F10" s="219"/>
      <c r="G10" s="219"/>
      <c r="H10" s="219"/>
      <c r="I10" s="219"/>
      <c r="J10" s="219"/>
      <c r="K10" s="219"/>
      <c r="L10" s="219"/>
      <c r="M10" s="219"/>
      <c r="N10" s="219"/>
      <c r="O10" s="219"/>
      <c r="P10" s="219"/>
      <c r="Q10" s="219"/>
      <c r="R10" s="218"/>
      <c r="S10" s="218"/>
      <c r="T10" s="57">
        <f>IF(R9="SI",1," ")</f>
        <v>1</v>
      </c>
      <c r="U10" s="135"/>
      <c r="V10" s="135"/>
      <c r="W10" s="135"/>
    </row>
    <row r="11" spans="2:23" ht="15.75" customHeight="1">
      <c r="B11" s="109"/>
      <c r="C11" s="109"/>
      <c r="E11" s="220" t="str">
        <f>IFERROR(IF(T10=1,"¿Cuántos pagos ha relacionado la entidad en ekOGUI?",IF(T10=_xleta.NOT,"")),"")</f>
        <v>¿Cuántos pagos ha relacionado la entidad en ekOGUI?</v>
      </c>
      <c r="F11" s="220"/>
      <c r="G11" s="220"/>
      <c r="H11" s="220"/>
      <c r="I11" s="220"/>
      <c r="J11" s="220"/>
      <c r="K11" s="220"/>
      <c r="L11" s="220"/>
      <c r="M11" s="220"/>
      <c r="N11" s="220"/>
      <c r="O11" s="220"/>
      <c r="P11" s="220"/>
      <c r="Q11" s="220"/>
      <c r="R11" s="221">
        <v>2</v>
      </c>
      <c r="S11" s="221"/>
      <c r="T11" s="89"/>
      <c r="U11" s="135"/>
      <c r="V11" s="135"/>
      <c r="W11" s="135"/>
    </row>
    <row r="12" spans="2:23" ht="15.75" customHeight="1">
      <c r="B12" s="109" t="s">
        <v>617</v>
      </c>
      <c r="C12" s="109"/>
      <c r="E12" s="220"/>
      <c r="F12" s="220"/>
      <c r="G12" s="220"/>
      <c r="H12" s="220"/>
      <c r="I12" s="220"/>
      <c r="J12" s="220"/>
      <c r="K12" s="220"/>
      <c r="L12" s="220"/>
      <c r="M12" s="220"/>
      <c r="N12" s="220"/>
      <c r="O12" s="220"/>
      <c r="P12" s="220"/>
      <c r="Q12" s="220"/>
      <c r="R12" s="221"/>
      <c r="S12" s="221"/>
      <c r="T12" s="89"/>
      <c r="U12" s="135"/>
      <c r="V12" s="135"/>
      <c r="W12" s="135"/>
    </row>
    <row r="13" spans="2:23" ht="15" customHeight="1">
      <c r="B13" s="109"/>
      <c r="C13" s="109"/>
      <c r="U13" s="110" t="s">
        <v>598</v>
      </c>
      <c r="V13" s="110"/>
      <c r="W13" s="110"/>
    </row>
    <row r="14" spans="2:23" ht="16.5" customHeight="1">
      <c r="B14" s="109" t="s">
        <v>2</v>
      </c>
      <c r="C14" s="109"/>
      <c r="U14" s="110"/>
      <c r="V14" s="110"/>
      <c r="W14" s="110"/>
    </row>
    <row r="15" spans="2:23" ht="20.25" customHeight="1">
      <c r="B15" s="109"/>
      <c r="C15" s="109"/>
      <c r="U15" s="17"/>
      <c r="V15" s="17"/>
      <c r="W15" s="17"/>
    </row>
    <row r="16" spans="2:23" ht="18" customHeight="1">
      <c r="B16" s="109" t="s">
        <v>3</v>
      </c>
      <c r="C16" s="109"/>
      <c r="E16" s="147" t="s">
        <v>619</v>
      </c>
      <c r="F16" s="147"/>
      <c r="G16" s="147"/>
      <c r="H16" s="147"/>
      <c r="I16" s="147"/>
      <c r="J16" s="147"/>
      <c r="K16" s="147"/>
      <c r="L16" s="147"/>
      <c r="M16" s="147"/>
      <c r="N16" s="147"/>
      <c r="O16" s="147"/>
      <c r="P16" s="147"/>
      <c r="Q16" s="147"/>
      <c r="R16" s="147"/>
      <c r="S16" s="147"/>
    </row>
    <row r="17" spans="2:19" ht="19.5" customHeight="1">
      <c r="B17" s="109"/>
      <c r="C17" s="109"/>
      <c r="E17" s="156" t="s">
        <v>653</v>
      </c>
      <c r="F17" s="156"/>
      <c r="G17" s="156"/>
      <c r="H17" s="156"/>
      <c r="I17" s="156"/>
      <c r="J17" s="156"/>
      <c r="K17" s="156"/>
      <c r="L17" s="156"/>
      <c r="M17" s="156"/>
      <c r="N17" s="156"/>
      <c r="O17" s="156"/>
      <c r="P17" s="156"/>
      <c r="Q17" s="156"/>
      <c r="R17" s="156"/>
      <c r="S17" s="156"/>
    </row>
    <row r="18" spans="2:19" ht="20.25" customHeight="1">
      <c r="B18" s="109" t="s">
        <v>538</v>
      </c>
      <c r="C18" s="109"/>
      <c r="E18" s="156"/>
      <c r="F18" s="156"/>
      <c r="G18" s="156"/>
      <c r="H18" s="156"/>
      <c r="I18" s="156"/>
      <c r="J18" s="156"/>
      <c r="K18" s="156"/>
      <c r="L18" s="156"/>
      <c r="M18" s="156"/>
      <c r="N18" s="156"/>
      <c r="O18" s="156"/>
      <c r="P18" s="156"/>
      <c r="Q18" s="156"/>
      <c r="R18" s="156"/>
      <c r="S18" s="156"/>
    </row>
    <row r="19" spans="2:19" ht="23.25" customHeight="1">
      <c r="B19" s="109"/>
      <c r="C19" s="109"/>
      <c r="E19" s="156"/>
      <c r="F19" s="156"/>
      <c r="G19" s="156"/>
      <c r="H19" s="156"/>
      <c r="I19" s="156"/>
      <c r="J19" s="156"/>
      <c r="K19" s="156"/>
      <c r="L19" s="156"/>
      <c r="M19" s="156"/>
      <c r="N19" s="156"/>
      <c r="O19" s="156"/>
      <c r="P19" s="156"/>
      <c r="Q19" s="156"/>
      <c r="R19" s="156"/>
      <c r="S19" s="156"/>
    </row>
    <row r="20" spans="2:19">
      <c r="B20" s="109" t="s">
        <v>431</v>
      </c>
      <c r="C20" s="109"/>
      <c r="E20" s="156"/>
      <c r="F20" s="156"/>
      <c r="G20" s="156"/>
      <c r="H20" s="156"/>
      <c r="I20" s="156"/>
      <c r="J20" s="156"/>
      <c r="K20" s="156"/>
      <c r="L20" s="156"/>
      <c r="M20" s="156"/>
      <c r="N20" s="156"/>
      <c r="O20" s="156"/>
      <c r="P20" s="156"/>
      <c r="Q20" s="156"/>
      <c r="R20" s="156"/>
      <c r="S20" s="156"/>
    </row>
    <row r="21" spans="2:19" ht="13.5" customHeight="1">
      <c r="B21" s="109"/>
      <c r="C21" s="109"/>
      <c r="E21" s="156"/>
      <c r="F21" s="156"/>
      <c r="G21" s="156"/>
      <c r="H21" s="156"/>
      <c r="I21" s="156"/>
      <c r="J21" s="156"/>
      <c r="K21" s="156"/>
      <c r="L21" s="156"/>
      <c r="M21" s="156"/>
      <c r="N21" s="156"/>
      <c r="O21" s="156"/>
      <c r="P21" s="156"/>
      <c r="Q21" s="156"/>
      <c r="R21" s="156"/>
      <c r="S21" s="156"/>
    </row>
    <row r="22" spans="2:19" ht="45.75" customHeight="1">
      <c r="B22" s="109" t="s">
        <v>618</v>
      </c>
      <c r="C22" s="109"/>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E11:Q12"/>
    <mergeCell ref="R11:S12"/>
    <mergeCell ref="E16:S16"/>
    <mergeCell ref="E17:S21"/>
    <mergeCell ref="B7:C7"/>
    <mergeCell ref="B9:C9"/>
    <mergeCell ref="E2:W3"/>
    <mergeCell ref="B6:C6"/>
    <mergeCell ref="B8:C8"/>
    <mergeCell ref="R9:S10"/>
    <mergeCell ref="B10:C10"/>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tabSelected="1" topLeftCell="A35" zoomScaleNormal="100" workbookViewId="0">
      <selection activeCell="E51" sqref="E51:G54"/>
    </sheetView>
  </sheetViews>
  <sheetFormatPr baseColWidth="10" defaultColWidth="11.42578125" defaultRowHeight="23.25"/>
  <cols>
    <col min="1" max="1" width="17.7109375" style="61" customWidth="1"/>
    <col min="2" max="2" width="19.85546875" style="61" customWidth="1"/>
    <col min="3" max="3" width="11.42578125" style="28"/>
    <col min="4" max="4" width="54" style="28" customWidth="1"/>
    <col min="5" max="5" width="19" style="28" customWidth="1"/>
    <col min="6" max="6" width="11.42578125" style="28"/>
    <col min="7" max="7" width="35.5703125" style="28" customWidth="1"/>
    <col min="8" max="8" width="18.42578125" style="28" customWidth="1"/>
    <col min="9" max="10" width="11.42578125" style="28"/>
    <col min="11" max="11" width="4.42578125" style="28" customWidth="1"/>
    <col min="12" max="13" width="9.140625" style="28" customWidth="1"/>
    <col min="14" max="14" width="13.42578125" style="28" customWidth="1"/>
    <col min="15" max="21" width="11.42578125" style="28"/>
    <col min="22" max="23" width="0" style="28" hidden="1" customWidth="1"/>
    <col min="24" max="16384" width="11.42578125" style="28"/>
  </cols>
  <sheetData>
    <row r="1" spans="1:23">
      <c r="G1" s="29"/>
    </row>
    <row r="2" spans="1:23" ht="34.5" customHeight="1">
      <c r="C2" s="30"/>
      <c r="D2" s="30"/>
      <c r="E2" s="30"/>
      <c r="F2" s="30"/>
      <c r="G2" s="30"/>
      <c r="H2" s="30"/>
      <c r="I2" s="30"/>
      <c r="J2" s="30"/>
      <c r="L2" s="227" t="s">
        <v>627</v>
      </c>
      <c r="M2" s="227"/>
      <c r="N2" s="227"/>
    </row>
    <row r="3" spans="1:23" ht="38.1" customHeight="1">
      <c r="C3" s="30"/>
      <c r="D3" s="30"/>
      <c r="E3" s="30"/>
      <c r="F3" s="27"/>
      <c r="G3" s="30"/>
      <c r="H3" s="153" t="s">
        <v>432</v>
      </c>
      <c r="I3" s="153"/>
      <c r="J3" s="31"/>
      <c r="L3" s="227"/>
      <c r="M3" s="227"/>
      <c r="N3" s="227"/>
    </row>
    <row r="4" spans="1:23" ht="21.75" customHeight="1">
      <c r="C4" s="30"/>
      <c r="D4" s="30"/>
      <c r="E4" s="30"/>
      <c r="F4" s="27"/>
      <c r="G4" s="30"/>
      <c r="H4" s="230">
        <v>45898</v>
      </c>
      <c r="I4" s="231"/>
      <c r="J4" s="32"/>
      <c r="L4" s="227"/>
      <c r="M4" s="227"/>
      <c r="N4" s="227"/>
    </row>
    <row r="5" spans="1:23">
      <c r="C5" s="30"/>
      <c r="D5" s="30"/>
      <c r="E5" s="30"/>
      <c r="F5" s="30"/>
      <c r="G5" s="30"/>
      <c r="H5" s="30"/>
      <c r="I5" s="32"/>
      <c r="J5" s="32"/>
      <c r="K5" s="33"/>
      <c r="L5" s="227"/>
      <c r="M5" s="227"/>
      <c r="N5" s="227"/>
      <c r="O5" s="33"/>
    </row>
    <row r="6" spans="1:23" ht="24" customHeight="1">
      <c r="A6" s="222" t="s">
        <v>616</v>
      </c>
      <c r="B6" s="222"/>
      <c r="C6" s="30"/>
      <c r="D6" s="229" t="s">
        <v>451</v>
      </c>
      <c r="E6" s="229"/>
      <c r="F6" s="229"/>
      <c r="G6" s="229"/>
      <c r="H6" s="229"/>
      <c r="I6" s="229"/>
      <c r="J6" s="34"/>
      <c r="K6" s="33"/>
      <c r="L6" s="227"/>
      <c r="M6" s="227"/>
      <c r="N6" s="227"/>
      <c r="O6" s="33"/>
    </row>
    <row r="7" spans="1:23" ht="26.25" customHeight="1">
      <c r="A7" s="222"/>
      <c r="B7" s="222"/>
      <c r="C7" s="30"/>
      <c r="D7" s="229" t="str">
        <f>"Plantilla de Certificado de Control Interno semestre "&amp;Portada!I6</f>
        <v>Plantilla de Certificado de Control Interno semestre I - 2025</v>
      </c>
      <c r="E7" s="229"/>
      <c r="F7" s="229"/>
      <c r="G7" s="229"/>
      <c r="H7" s="229"/>
      <c r="I7" s="229"/>
      <c r="J7" s="34"/>
      <c r="K7" s="33"/>
      <c r="L7" s="227"/>
      <c r="M7" s="227"/>
      <c r="N7" s="227"/>
      <c r="O7" s="33"/>
    </row>
    <row r="8" spans="1:23" ht="19.5" customHeight="1">
      <c r="A8" s="222" t="s">
        <v>0</v>
      </c>
      <c r="B8" s="222"/>
      <c r="C8" s="30"/>
      <c r="D8" s="30"/>
      <c r="E8" s="30"/>
      <c r="F8" s="30"/>
      <c r="G8" s="30"/>
      <c r="H8" s="30"/>
      <c r="I8" s="30"/>
      <c r="J8" s="35"/>
      <c r="K8" s="36"/>
      <c r="L8" s="228" t="s">
        <v>598</v>
      </c>
      <c r="M8" s="228"/>
      <c r="N8" s="228"/>
      <c r="O8" s="36"/>
    </row>
    <row r="9" spans="1:23" ht="16.5" customHeight="1">
      <c r="A9" s="222"/>
      <c r="B9" s="222"/>
      <c r="C9" s="30"/>
      <c r="D9" s="30"/>
      <c r="E9" s="30"/>
      <c r="F9" s="30"/>
      <c r="G9" s="30"/>
      <c r="H9" s="30"/>
      <c r="I9" s="30"/>
      <c r="J9" s="35">
        <f>+VLOOKUP(E10,Administrador!$E$2:$F$338,2,0)</f>
        <v>0</v>
      </c>
      <c r="K9" s="36"/>
      <c r="L9" s="37"/>
      <c r="M9" s="37"/>
      <c r="N9" s="37"/>
      <c r="O9" s="36"/>
    </row>
    <row r="10" spans="1:23" ht="53.25" customHeight="1">
      <c r="A10" s="222" t="s">
        <v>1</v>
      </c>
      <c r="B10" s="222"/>
      <c r="C10" s="30"/>
      <c r="D10" s="65" t="s">
        <v>551</v>
      </c>
      <c r="E10" s="226" t="s">
        <v>51</v>
      </c>
      <c r="F10" s="226"/>
      <c r="G10" s="226"/>
      <c r="H10" s="226"/>
      <c r="I10" s="226"/>
      <c r="J10" s="30"/>
      <c r="L10" s="38"/>
      <c r="M10" s="38"/>
      <c r="N10" s="38"/>
    </row>
    <row r="11" spans="1:23" ht="30.75" customHeight="1">
      <c r="A11" s="222"/>
      <c r="B11" s="222"/>
      <c r="C11" s="30"/>
      <c r="D11" s="67" t="str">
        <f>IFERROR(IF(J9=1,"Digite el nombre de la Entidad",IF(J9=2,"Digite el nombre de la Seccional","")),"")</f>
        <v/>
      </c>
      <c r="E11" s="223"/>
      <c r="F11" s="223"/>
      <c r="G11" s="223"/>
      <c r="H11" s="223"/>
      <c r="I11" s="223"/>
      <c r="J11" s="30"/>
      <c r="L11" s="38"/>
      <c r="M11" s="38"/>
      <c r="N11" s="38"/>
    </row>
    <row r="12" spans="1:23" ht="19.5" customHeight="1">
      <c r="A12" s="222" t="s">
        <v>617</v>
      </c>
      <c r="B12" s="222"/>
      <c r="C12" s="30"/>
      <c r="D12" s="106"/>
      <c r="E12" s="30"/>
      <c r="F12" s="30"/>
      <c r="G12" s="30"/>
      <c r="H12" s="30"/>
      <c r="I12" s="30"/>
      <c r="J12" s="39"/>
      <c r="W12" s="28" t="s">
        <v>452</v>
      </c>
    </row>
    <row r="13" spans="1:23" ht="40.5" customHeight="1">
      <c r="A13" s="222"/>
      <c r="B13" s="222"/>
      <c r="C13" s="30"/>
      <c r="D13" s="66" t="s">
        <v>541</v>
      </c>
      <c r="E13" s="226" t="s">
        <v>651</v>
      </c>
      <c r="F13" s="226"/>
      <c r="G13" s="226"/>
      <c r="H13" s="226"/>
      <c r="I13" s="226"/>
      <c r="J13" s="30"/>
      <c r="W13" s="28" t="s">
        <v>453</v>
      </c>
    </row>
    <row r="14" spans="1:23" ht="21.75" customHeight="1">
      <c r="A14" s="222" t="s">
        <v>2</v>
      </c>
      <c r="B14" s="222"/>
      <c r="C14" s="30"/>
      <c r="D14" s="30"/>
      <c r="E14" s="56"/>
      <c r="F14" s="30"/>
      <c r="G14" s="30"/>
      <c r="H14" s="30"/>
      <c r="I14" s="40"/>
      <c r="J14" s="30"/>
      <c r="W14" s="28" t="s">
        <v>454</v>
      </c>
    </row>
    <row r="15" spans="1:23" ht="28.5" customHeight="1">
      <c r="A15" s="222"/>
      <c r="B15" s="222"/>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2" t="s">
        <v>3</v>
      </c>
      <c r="B16" s="222"/>
      <c r="C16" s="30"/>
      <c r="D16" s="72" t="s">
        <v>599</v>
      </c>
      <c r="E16" s="77">
        <f>(COUNTA(Usuarios!K11:N20)/5)</f>
        <v>1</v>
      </c>
      <c r="F16" s="30"/>
      <c r="G16" s="72" t="s">
        <v>611</v>
      </c>
      <c r="H16" s="224">
        <f>IF(Arbitramentos!$L$13="", "", Arbitramentos!$L$13)</f>
        <v>0</v>
      </c>
      <c r="I16" s="224"/>
      <c r="J16" s="30"/>
    </row>
    <row r="17" spans="1:10" ht="28.5" customHeight="1">
      <c r="A17" s="222"/>
      <c r="B17" s="222"/>
      <c r="C17" s="30"/>
      <c r="D17" s="99" t="s">
        <v>648</v>
      </c>
      <c r="E17" s="102">
        <f>(COUNTA(Usuarios!O11:Q20)/5)</f>
        <v>1</v>
      </c>
      <c r="F17" s="30"/>
      <c r="G17" s="78" t="s">
        <v>447</v>
      </c>
      <c r="H17" s="225">
        <f>IF(OR(ISBLANK(Arbitramentos!L13), ISBLANK(Arbitramentos!L11)), "", IF(AND(Arbitramentos!L13=0, Arbitramentos!L11=0), 0, IFERROR(Arbitramentos!L13/Arbitramentos!L11, "")))</f>
        <v>0</v>
      </c>
      <c r="I17" s="225"/>
      <c r="J17" s="30"/>
    </row>
    <row r="18" spans="1:10" ht="28.5" customHeight="1">
      <c r="A18" s="222" t="s">
        <v>538</v>
      </c>
      <c r="B18" s="222"/>
      <c r="C18" s="30"/>
      <c r="D18" s="72" t="s">
        <v>555</v>
      </c>
      <c r="E18" s="100">
        <f>+Abogados!$J$9</f>
        <v>4</v>
      </c>
      <c r="F18" s="30"/>
      <c r="G18" s="72" t="s">
        <v>612</v>
      </c>
      <c r="H18" s="224">
        <f>IF(Arbitramentos!$U$13="", "", Arbitramentos!$U$13)</f>
        <v>0</v>
      </c>
      <c r="I18" s="224"/>
      <c r="J18" s="30"/>
    </row>
    <row r="19" spans="1:10" ht="28.5" customHeight="1">
      <c r="A19" s="222"/>
      <c r="B19" s="222"/>
      <c r="C19" s="30"/>
      <c r="D19" s="99" t="s">
        <v>600</v>
      </c>
      <c r="E19" s="101">
        <f>IFERROR((+Abogados!I19+Abogados!I21)/(Abogados!I15*2)," ")</f>
        <v>0.375</v>
      </c>
      <c r="F19" s="30"/>
      <c r="G19" s="78"/>
      <c r="H19" s="232"/>
      <c r="I19" s="232"/>
      <c r="J19" s="30"/>
    </row>
    <row r="20" spans="1:10" ht="28.5" customHeight="1">
      <c r="A20" s="222" t="s">
        <v>431</v>
      </c>
      <c r="B20" s="222"/>
      <c r="C20" s="30"/>
      <c r="D20" s="72" t="s">
        <v>647</v>
      </c>
      <c r="E20" s="103">
        <f>IFERROR((+Abogados!R20+Abogados!R22+Abogados!R24)/(E18)," ")</f>
        <v>0</v>
      </c>
      <c r="F20" s="30"/>
      <c r="G20" s="42"/>
      <c r="H20" s="233"/>
      <c r="I20" s="233"/>
      <c r="J20" s="30"/>
    </row>
    <row r="21" spans="1:10" ht="28.5" customHeight="1">
      <c r="A21" s="222"/>
      <c r="B21" s="222"/>
      <c r="C21" s="30"/>
      <c r="D21" s="30"/>
      <c r="E21" s="30"/>
      <c r="F21" s="30"/>
      <c r="G21" s="30"/>
      <c r="H21" s="30"/>
      <c r="I21" s="30"/>
      <c r="J21" s="30"/>
    </row>
    <row r="22" spans="1:10" ht="34.5" customHeight="1">
      <c r="A22" s="222" t="s">
        <v>618</v>
      </c>
      <c r="B22" s="222"/>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10</v>
      </c>
      <c r="F23" s="41"/>
      <c r="G23" s="72" t="s">
        <v>457</v>
      </c>
      <c r="H23" s="97" t="str">
        <f>+'Comité de conciliación'!$R$8</f>
        <v>SI</v>
      </c>
      <c r="I23" s="97"/>
      <c r="J23" s="30"/>
    </row>
    <row r="24" spans="1:10" ht="28.5" customHeight="1">
      <c r="C24" s="30"/>
      <c r="D24" s="78" t="s">
        <v>608</v>
      </c>
      <c r="E24" s="84">
        <f>+'Registro Casos'!$P$13</f>
        <v>10</v>
      </c>
      <c r="F24" s="41"/>
      <c r="G24" s="78" t="s">
        <v>637</v>
      </c>
      <c r="H24" s="95" t="str">
        <f>+'Comité de conciliación'!$R$10</f>
        <v>SI</v>
      </c>
      <c r="I24" s="95"/>
      <c r="J24" s="30"/>
    </row>
    <row r="25" spans="1:10" ht="28.5" customHeight="1">
      <c r="C25" s="30"/>
      <c r="D25" s="72" t="s">
        <v>638</v>
      </c>
      <c r="E25" s="85">
        <f>+'Registro Casos'!$P$16</f>
        <v>2</v>
      </c>
      <c r="F25" s="41"/>
      <c r="G25" s="72" t="s">
        <v>500</v>
      </c>
      <c r="H25" s="96">
        <f>+'Comité de conciliación'!$J$20+'Comité de conciliación'!$J$21+'Comité de conciliación'!$J$22</f>
        <v>0</v>
      </c>
      <c r="I25" s="96"/>
      <c r="J25" s="30"/>
    </row>
    <row r="26" spans="1:10" ht="28.5" customHeight="1">
      <c r="C26" s="30"/>
      <c r="D26" s="78" t="s">
        <v>639</v>
      </c>
      <c r="E26" s="86">
        <f>+'Registro Casos'!$P$19</f>
        <v>8</v>
      </c>
      <c r="F26" s="41"/>
      <c r="G26" s="42"/>
      <c r="H26" s="233"/>
      <c r="I26" s="233"/>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3" t="str">
        <f>IF(AND(Pagos!R9="",Pagos!R11=""),"Falta diligenciar",IF(Pagos!R9="","Falta diligenciar",""))</f>
        <v/>
      </c>
      <c r="I28" s="153"/>
      <c r="J28" s="30"/>
    </row>
    <row r="29" spans="1:10" ht="28.5" customHeight="1">
      <c r="C29" s="30"/>
      <c r="D29" s="72" t="s">
        <v>601</v>
      </c>
      <c r="E29" s="80">
        <f>+Judiciales!$L$14</f>
        <v>46</v>
      </c>
      <c r="F29" s="30"/>
      <c r="G29" s="72" t="s">
        <v>614</v>
      </c>
      <c r="H29" s="97" t="str">
        <f>+Pagos!R9</f>
        <v>SI</v>
      </c>
      <c r="I29" s="97"/>
      <c r="J29" s="30"/>
    </row>
    <row r="30" spans="1:10" ht="28.5" customHeight="1">
      <c r="C30" s="30"/>
      <c r="D30" s="78" t="s">
        <v>447</v>
      </c>
      <c r="E30" s="79">
        <f>IFERROR(+Judiciales!L14/Judiciales!L12," ")</f>
        <v>1</v>
      </c>
      <c r="F30" s="30"/>
      <c r="G30" s="78" t="s">
        <v>613</v>
      </c>
      <c r="H30" s="98">
        <f>+Pagos!R11</f>
        <v>2</v>
      </c>
      <c r="I30" s="98"/>
      <c r="J30" s="30"/>
    </row>
    <row r="31" spans="1:10" ht="28.5" customHeight="1">
      <c r="C31" s="30"/>
      <c r="D31" s="72" t="s">
        <v>448</v>
      </c>
      <c r="E31" s="105" t="str">
        <f>IFERROR(+Judiciales!U14/Judiciales!U12,"0")</f>
        <v>0</v>
      </c>
      <c r="F31" s="60"/>
      <c r="G31" s="60"/>
      <c r="H31" s="60"/>
      <c r="I31" s="60"/>
      <c r="J31" s="30"/>
    </row>
    <row r="32" spans="1:10" ht="28.5" customHeight="1">
      <c r="C32" s="30"/>
      <c r="D32" s="78" t="s">
        <v>602</v>
      </c>
      <c r="E32" s="81">
        <f>IFERROR(+Judiciales!L14/Abogados!J9," ")</f>
        <v>11.5</v>
      </c>
      <c r="F32" s="60"/>
      <c r="G32" s="60"/>
      <c r="H32" s="60"/>
      <c r="I32" s="60"/>
      <c r="J32" s="30"/>
    </row>
    <row r="33" spans="3:10">
      <c r="C33" s="30"/>
      <c r="D33" s="72" t="s">
        <v>449</v>
      </c>
      <c r="E33" s="77">
        <f>IFERROR((+Judiciales!V42+Judiciales!V40+Judiciales!V38)/(Judiciales!S38+Judiciales!S36+Judiciales!S34+Judiciales!S32)," ")</f>
        <v>4.3478260869565216E-2</v>
      </c>
      <c r="F33" s="60"/>
      <c r="G33" s="60"/>
      <c r="H33" s="60"/>
      <c r="I33" s="60"/>
      <c r="J33" s="30"/>
    </row>
    <row r="34" spans="3:10">
      <c r="C34" s="30"/>
      <c r="D34" s="60"/>
      <c r="E34" s="60"/>
      <c r="F34" s="60"/>
      <c r="G34" s="60"/>
      <c r="H34" s="60"/>
      <c r="I34" s="60"/>
      <c r="J34" s="30"/>
    </row>
    <row r="35" spans="3:10">
      <c r="C35" s="30"/>
      <c r="D35" s="219" t="s">
        <v>484</v>
      </c>
      <c r="E35" s="219"/>
      <c r="F35" s="219"/>
      <c r="G35" s="219"/>
      <c r="H35" s="219"/>
      <c r="I35" s="219"/>
      <c r="J35" s="30"/>
    </row>
    <row r="36" spans="3:10">
      <c r="C36" s="30"/>
      <c r="D36" s="237" t="s">
        <v>657</v>
      </c>
      <c r="E36" s="237"/>
      <c r="F36" s="237"/>
      <c r="G36" s="237"/>
      <c r="H36" s="237"/>
      <c r="I36" s="237"/>
      <c r="J36" s="30"/>
    </row>
    <row r="37" spans="3:10">
      <c r="C37" s="30"/>
      <c r="D37" s="237"/>
      <c r="E37" s="237"/>
      <c r="F37" s="237"/>
      <c r="G37" s="237"/>
      <c r="H37" s="237"/>
      <c r="I37" s="237"/>
      <c r="J37" s="30"/>
    </row>
    <row r="38" spans="3:10">
      <c r="C38" s="30"/>
      <c r="D38" s="237"/>
      <c r="E38" s="237"/>
      <c r="F38" s="237"/>
      <c r="G38" s="237"/>
      <c r="H38" s="237"/>
      <c r="I38" s="237"/>
      <c r="J38" s="30"/>
    </row>
    <row r="39" spans="3:10">
      <c r="C39" s="30"/>
      <c r="D39" s="237"/>
      <c r="E39" s="237"/>
      <c r="F39" s="237"/>
      <c r="G39" s="237"/>
      <c r="H39" s="237"/>
      <c r="I39" s="237"/>
      <c r="J39" s="30"/>
    </row>
    <row r="40" spans="3:10" ht="20.25" customHeight="1">
      <c r="C40" s="30"/>
      <c r="D40" s="237"/>
      <c r="E40" s="237"/>
      <c r="F40" s="237"/>
      <c r="G40" s="237"/>
      <c r="H40" s="237"/>
      <c r="I40" s="237"/>
      <c r="J40" s="30"/>
    </row>
    <row r="41" spans="3:10" ht="63" customHeight="1">
      <c r="C41" s="30"/>
      <c r="D41" s="237"/>
      <c r="E41" s="237"/>
      <c r="F41" s="237"/>
      <c r="G41" s="237"/>
      <c r="H41" s="237"/>
      <c r="I41" s="237"/>
      <c r="J41" s="30"/>
    </row>
    <row r="42" spans="3:10" ht="39" customHeight="1">
      <c r="C42" s="30"/>
      <c r="D42" s="237"/>
      <c r="E42" s="237"/>
      <c r="F42" s="237"/>
      <c r="G42" s="237"/>
      <c r="H42" s="237"/>
      <c r="I42" s="237"/>
      <c r="J42" s="30"/>
    </row>
    <row r="43" spans="3:10" ht="17.100000000000001" customHeight="1">
      <c r="C43" s="30"/>
      <c r="D43" s="235" t="s">
        <v>609</v>
      </c>
      <c r="E43" s="235"/>
      <c r="F43" s="235"/>
      <c r="G43" s="235"/>
      <c r="H43" s="235"/>
      <c r="I43" s="235"/>
      <c r="J43" s="30"/>
    </row>
    <row r="44" spans="3:10" ht="20.25" customHeight="1">
      <c r="C44" s="30"/>
      <c r="D44" s="235"/>
      <c r="E44" s="235"/>
      <c r="F44" s="235"/>
      <c r="G44" s="235"/>
      <c r="H44" s="235"/>
      <c r="I44" s="235"/>
      <c r="J44" s="30"/>
    </row>
    <row r="45" spans="3:10" ht="22.5" customHeight="1">
      <c r="C45" s="30"/>
      <c r="D45" s="236" t="s">
        <v>610</v>
      </c>
      <c r="E45" s="236"/>
      <c r="F45" s="236"/>
      <c r="G45" s="236"/>
      <c r="H45" s="236"/>
      <c r="I45" s="236"/>
      <c r="J45" s="30"/>
    </row>
    <row r="46" spans="3:10" ht="22.5" customHeight="1">
      <c r="C46" s="30"/>
      <c r="D46" s="236"/>
      <c r="E46" s="236"/>
      <c r="F46" s="236"/>
      <c r="G46" s="236"/>
      <c r="H46" s="236"/>
      <c r="I46" s="236"/>
      <c r="J46" s="30"/>
    </row>
    <row r="47" spans="3:10" ht="12.75" customHeight="1">
      <c r="C47" s="30"/>
      <c r="D47" s="236"/>
      <c r="E47" s="236"/>
      <c r="F47" s="236"/>
      <c r="G47" s="236"/>
      <c r="H47" s="236"/>
      <c r="I47" s="236"/>
      <c r="J47" s="30"/>
    </row>
    <row r="48" spans="3:10" ht="22.5" customHeight="1">
      <c r="C48" s="30"/>
      <c r="D48" s="236"/>
      <c r="E48" s="236"/>
      <c r="F48" s="236"/>
      <c r="G48" s="236"/>
      <c r="H48" s="236"/>
      <c r="I48" s="236"/>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34"/>
      <c r="F51" s="234"/>
      <c r="G51" s="234"/>
      <c r="H51" s="26"/>
      <c r="I51" s="30"/>
      <c r="J51" s="30"/>
    </row>
    <row r="52" spans="3:10">
      <c r="C52" s="30"/>
      <c r="D52" s="30"/>
      <c r="E52" s="234"/>
      <c r="F52" s="234"/>
      <c r="G52" s="234"/>
      <c r="H52" s="26"/>
      <c r="I52" s="30"/>
      <c r="J52" s="30"/>
    </row>
    <row r="53" spans="3:10">
      <c r="C53" s="30"/>
      <c r="D53" s="30"/>
      <c r="E53" s="234"/>
      <c r="F53" s="234"/>
      <c r="G53" s="234"/>
      <c r="H53" s="26"/>
      <c r="I53" s="30"/>
      <c r="J53" s="30"/>
    </row>
    <row r="54" spans="3:10">
      <c r="C54" s="30"/>
      <c r="D54" s="30"/>
      <c r="E54" s="234"/>
      <c r="F54" s="234"/>
      <c r="G54" s="234"/>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E51:G54"/>
    <mergeCell ref="D35:I35"/>
    <mergeCell ref="D43:I44"/>
    <mergeCell ref="D45:I48"/>
    <mergeCell ref="E50:G50"/>
    <mergeCell ref="D36:I42"/>
    <mergeCell ref="H22:I22"/>
    <mergeCell ref="H19:I19"/>
    <mergeCell ref="H20:I20"/>
    <mergeCell ref="H26:I26"/>
    <mergeCell ref="H28:I28"/>
    <mergeCell ref="A6:B6"/>
    <mergeCell ref="A8:B8"/>
    <mergeCell ref="A10:B10"/>
    <mergeCell ref="A11:B11"/>
    <mergeCell ref="A12:B12"/>
    <mergeCell ref="A7:B7"/>
    <mergeCell ref="A9:B9"/>
    <mergeCell ref="L2:N7"/>
    <mergeCell ref="L8:N8"/>
    <mergeCell ref="D7:I7"/>
    <mergeCell ref="D6:I6"/>
    <mergeCell ref="E10:I10"/>
    <mergeCell ref="H3:I3"/>
    <mergeCell ref="H4:I4"/>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Props1.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2.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58E5D7-2628-4318-AA98-C397282CBE0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LIMI GARO</cp:lastModifiedBy>
  <cp:revision/>
  <cp:lastPrinted>2025-07-15T19:53:07Z</cp:lastPrinted>
  <dcterms:created xsi:type="dcterms:W3CDTF">2020-06-25T21:16:25Z</dcterms:created>
  <dcterms:modified xsi:type="dcterms:W3CDTF">2025-08-29T18:08:09Z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